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A715E18A-900D-4A79-BC0A-B6A666075C57}" xr6:coauthVersionLast="47" xr6:coauthVersionMax="47" xr10:uidLastSave="{00000000-0000-0000-0000-000000000000}"/>
  <bookViews>
    <workbookView xWindow="-120" yWindow="-120" windowWidth="29040" windowHeight="15720" tabRatio="500" xr2:uid="{00000000-000D-0000-FFFF-FFFF00000000}"/>
  </bookViews>
  <sheets>
    <sheet name="Dashboard" sheetId="1" r:id="rId1"/>
    <sheet name="Instructions" sheetId="2" r:id="rId2"/>
    <sheet name="Settings" sheetId="3" r:id="rId3"/>
    <sheet name="Employees" sheetId="4" r:id="rId4"/>
    <sheet name="Attendance" sheetId="5" r:id="rId5"/>
    <sheet name="Leave" sheetId="6" r:id="rId6"/>
    <sheet name="Payroll" sheetId="7" r:id="rId7"/>
    <sheet name="Payroll Register" sheetId="8" r:id="rId8"/>
    <sheet name="Employee Payslip" sheetId="9" r:id="rId9"/>
    <sheet name="Timesheet Summary" sheetId="10" r:id="rId10"/>
    <sheet name="Payroll Summary" sheetId="11" r:id="rId11"/>
    <sheet name="Deductions" sheetId="12" r:id="rId12"/>
    <sheet name="Allowances &amp; Bonuses" sheetId="13" r:id="rId13"/>
    <sheet name="Holidays" sheetId="14" r:id="rId14"/>
    <sheet name="Lists" sheetId="15" r:id="rId15"/>
    <sheet name="Checks &amp; Audit" sheetId="16" r:id="rId16"/>
  </sheets>
  <definedNames>
    <definedName name="CompanyNameCell">Settings!$B$4</definedName>
    <definedName name="CurrencyCode">Settings!$B$8</definedName>
    <definedName name="GraceMinutes">Settings!$B$24</definedName>
    <definedName name="HolidayOTMult">Settings!$B$30</definedName>
    <definedName name="MaxNormalHours">Settings!$B$25</definedName>
    <definedName name="MonthlyHoursDivisor">Settings!$B$33</definedName>
    <definedName name="NormalOTMult">Settings!$B$28</definedName>
    <definedName name="PayrollMonth">Settings!$B$11</definedName>
    <definedName name="PayrollYear">Settings!$B$12</definedName>
    <definedName name="PeriodEnd">Settings!$B$14</definedName>
    <definedName name="PeriodStart">Settings!$B$13</definedName>
    <definedName name="_xlnm.Print_Area" localSheetId="8">'Employee Payslip'!$A$1:$F$44</definedName>
    <definedName name="StdDaysWeek">Settings!$B$20</definedName>
    <definedName name="StdHoursDay">Settings!$B$18</definedName>
    <definedName name="UnpaidLeaveMethod">Settings!$B$35</definedName>
    <definedName name="WeekendOTMult">Settings!$B$29</definedName>
    <definedName name="WorkingDaysDivisor">Settings!$B$34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6" i="16" l="1"/>
  <c r="D16" i="16" s="1"/>
  <c r="C15" i="16"/>
  <c r="D15" i="16" s="1"/>
  <c r="C14" i="16"/>
  <c r="D14" i="16" s="1"/>
  <c r="C13" i="16"/>
  <c r="D13" i="16" s="1"/>
  <c r="C12" i="16"/>
  <c r="D12" i="16" s="1"/>
  <c r="C8" i="16"/>
  <c r="D8" i="16" s="1"/>
  <c r="C7" i="16"/>
  <c r="D7" i="16" s="1"/>
  <c r="C6" i="16"/>
  <c r="D6" i="16" s="1"/>
  <c r="L27" i="12"/>
  <c r="K27" i="12"/>
  <c r="J27" i="12"/>
  <c r="I27" i="12"/>
  <c r="L26" i="12"/>
  <c r="K26" i="12"/>
  <c r="J26" i="12"/>
  <c r="M26" i="12" s="1"/>
  <c r="N26" i="12" s="1"/>
  <c r="I26" i="12"/>
  <c r="L25" i="12"/>
  <c r="K25" i="12"/>
  <c r="J25" i="12"/>
  <c r="M25" i="12" s="1"/>
  <c r="N25" i="12" s="1"/>
  <c r="I25" i="12"/>
  <c r="N24" i="12"/>
  <c r="L24" i="12"/>
  <c r="K24" i="12"/>
  <c r="J24" i="12"/>
  <c r="M24" i="12" s="1"/>
  <c r="I24" i="12"/>
  <c r="L23" i="12"/>
  <c r="K23" i="12"/>
  <c r="J23" i="12"/>
  <c r="M23" i="12" s="1"/>
  <c r="N23" i="12" s="1"/>
  <c r="I23" i="12"/>
  <c r="L22" i="12"/>
  <c r="K22" i="12"/>
  <c r="J22" i="12"/>
  <c r="M22" i="12" s="1"/>
  <c r="N22" i="12" s="1"/>
  <c r="W8" i="7" s="1"/>
  <c r="R8" i="8" s="1"/>
  <c r="I22" i="12"/>
  <c r="L21" i="12"/>
  <c r="K21" i="12"/>
  <c r="J21" i="12"/>
  <c r="M21" i="12" s="1"/>
  <c r="N21" i="12" s="1"/>
  <c r="I21" i="12"/>
  <c r="L20" i="12"/>
  <c r="K20" i="12"/>
  <c r="J20" i="12"/>
  <c r="M20" i="12" s="1"/>
  <c r="N20" i="12" s="1"/>
  <c r="I20" i="12"/>
  <c r="L19" i="12"/>
  <c r="K19" i="12"/>
  <c r="J19" i="12"/>
  <c r="M19" i="12" s="1"/>
  <c r="N19" i="12" s="1"/>
  <c r="I19" i="12"/>
  <c r="L18" i="12"/>
  <c r="K18" i="12"/>
  <c r="J18" i="12"/>
  <c r="M18" i="12" s="1"/>
  <c r="N18" i="12" s="1"/>
  <c r="I18" i="12"/>
  <c r="L17" i="12"/>
  <c r="K17" i="12"/>
  <c r="J17" i="12"/>
  <c r="M17" i="12" s="1"/>
  <c r="N17" i="12" s="1"/>
  <c r="I17" i="12"/>
  <c r="A14" i="10"/>
  <c r="C14" i="10" s="1"/>
  <c r="B13" i="10"/>
  <c r="A13" i="10"/>
  <c r="B12" i="10"/>
  <c r="A12" i="10"/>
  <c r="C11" i="10"/>
  <c r="B11" i="10"/>
  <c r="A11" i="10"/>
  <c r="A10" i="10"/>
  <c r="C10" i="10" s="1"/>
  <c r="B9" i="10"/>
  <c r="A9" i="10"/>
  <c r="B8" i="10"/>
  <c r="A8" i="10"/>
  <c r="B7" i="10"/>
  <c r="A7" i="10"/>
  <c r="A6" i="10"/>
  <c r="C6" i="10" s="1"/>
  <c r="B5" i="10"/>
  <c r="A5" i="10"/>
  <c r="D33" i="9"/>
  <c r="D32" i="9"/>
  <c r="D31" i="9"/>
  <c r="D30" i="9"/>
  <c r="D29" i="9"/>
  <c r="D28" i="9"/>
  <c r="C15" i="9"/>
  <c r="A7" i="9"/>
  <c r="A6" i="9"/>
  <c r="A5" i="9"/>
  <c r="R12" i="8"/>
  <c r="X11" i="8"/>
  <c r="X7" i="8"/>
  <c r="W14" i="7"/>
  <c r="R14" i="8" s="1"/>
  <c r="U14" i="7"/>
  <c r="P14" i="8" s="1"/>
  <c r="E14" i="7"/>
  <c r="E14" i="8" s="1"/>
  <c r="A14" i="7"/>
  <c r="C13" i="7"/>
  <c r="C13" i="8" s="1"/>
  <c r="A13" i="7"/>
  <c r="AB12" i="7"/>
  <c r="X12" i="8" s="1"/>
  <c r="Y12" i="7"/>
  <c r="T12" i="8" s="1"/>
  <c r="W12" i="7"/>
  <c r="A12" i="7"/>
  <c r="T12" i="7" s="1"/>
  <c r="AB11" i="7"/>
  <c r="Y11" i="7"/>
  <c r="T11" i="8" s="1"/>
  <c r="X11" i="7"/>
  <c r="S11" i="8" s="1"/>
  <c r="W11" i="7"/>
  <c r="R11" i="8" s="1"/>
  <c r="V11" i="7"/>
  <c r="Q11" i="8" s="1"/>
  <c r="U11" i="7"/>
  <c r="P11" i="8" s="1"/>
  <c r="E11" i="7"/>
  <c r="C11" i="7"/>
  <c r="C11" i="8" s="1"/>
  <c r="A11" i="7"/>
  <c r="W10" i="7"/>
  <c r="R10" i="8" s="1"/>
  <c r="U10" i="7"/>
  <c r="P10" i="8" s="1"/>
  <c r="A10" i="7"/>
  <c r="A9" i="7"/>
  <c r="AB8" i="7"/>
  <c r="X8" i="8" s="1"/>
  <c r="Y8" i="7"/>
  <c r="T8" i="8" s="1"/>
  <c r="A8" i="7"/>
  <c r="T8" i="7" s="1"/>
  <c r="AB7" i="7"/>
  <c r="Y7" i="7"/>
  <c r="T7" i="8" s="1"/>
  <c r="X7" i="7"/>
  <c r="S7" i="8" s="1"/>
  <c r="W7" i="7"/>
  <c r="R7" i="8" s="1"/>
  <c r="V7" i="7"/>
  <c r="Q7" i="8" s="1"/>
  <c r="U7" i="7"/>
  <c r="P7" i="8" s="1"/>
  <c r="E7" i="7"/>
  <c r="C7" i="7"/>
  <c r="C7" i="8" s="1"/>
  <c r="A7" i="7"/>
  <c r="E6" i="7"/>
  <c r="E6" i="8" s="1"/>
  <c r="A6" i="7"/>
  <c r="C5" i="7"/>
  <c r="A5" i="7"/>
  <c r="H7" i="6"/>
  <c r="D7" i="6"/>
  <c r="C7" i="6"/>
  <c r="H6" i="6"/>
  <c r="D6" i="6"/>
  <c r="C6" i="6"/>
  <c r="H5" i="6"/>
  <c r="D5" i="6"/>
  <c r="C5" i="6"/>
  <c r="H4" i="6"/>
  <c r="D4" i="6"/>
  <c r="C4" i="6"/>
  <c r="S31" i="5"/>
  <c r="R31" i="5"/>
  <c r="T31" i="5" s="1"/>
  <c r="Q31" i="5"/>
  <c r="P31" i="5"/>
  <c r="N31" i="5"/>
  <c r="M31" i="5"/>
  <c r="L31" i="5"/>
  <c r="O31" i="5" s="1"/>
  <c r="D31" i="5"/>
  <c r="C31" i="5"/>
  <c r="S30" i="5"/>
  <c r="R30" i="5"/>
  <c r="T30" i="5" s="1"/>
  <c r="M30" i="5"/>
  <c r="L30" i="5"/>
  <c r="D30" i="5"/>
  <c r="C30" i="5"/>
  <c r="T29" i="5"/>
  <c r="S29" i="5"/>
  <c r="R29" i="5"/>
  <c r="M29" i="5"/>
  <c r="L29" i="5"/>
  <c r="D29" i="5"/>
  <c r="C29" i="5"/>
  <c r="S28" i="5"/>
  <c r="R28" i="5"/>
  <c r="O28" i="5"/>
  <c r="M28" i="5"/>
  <c r="Q28" i="5" s="1"/>
  <c r="L28" i="5"/>
  <c r="D28" i="5"/>
  <c r="C28" i="5"/>
  <c r="S27" i="5"/>
  <c r="T27" i="5" s="1"/>
  <c r="R27" i="5"/>
  <c r="P27" i="5"/>
  <c r="N27" i="5"/>
  <c r="M27" i="5"/>
  <c r="Q27" i="5" s="1"/>
  <c r="L27" i="5"/>
  <c r="D27" i="5"/>
  <c r="C27" i="5"/>
  <c r="S26" i="5"/>
  <c r="R26" i="5"/>
  <c r="T26" i="5" s="1"/>
  <c r="O26" i="5"/>
  <c r="N26" i="5"/>
  <c r="M26" i="5"/>
  <c r="P26" i="5" s="1"/>
  <c r="L26" i="5"/>
  <c r="D26" i="5"/>
  <c r="C26" i="5"/>
  <c r="T25" i="5"/>
  <c r="S25" i="5"/>
  <c r="R25" i="5"/>
  <c r="P25" i="5"/>
  <c r="N25" i="5"/>
  <c r="M25" i="5"/>
  <c r="Q25" i="5" s="1"/>
  <c r="L25" i="5"/>
  <c r="D25" i="5"/>
  <c r="C25" i="5"/>
  <c r="T24" i="5"/>
  <c r="S24" i="5"/>
  <c r="R24" i="5"/>
  <c r="Q24" i="5"/>
  <c r="O24" i="5"/>
  <c r="M24" i="5"/>
  <c r="P24" i="5" s="1"/>
  <c r="L24" i="5"/>
  <c r="D24" i="5"/>
  <c r="C24" i="5"/>
  <c r="T23" i="5"/>
  <c r="S23" i="5"/>
  <c r="R23" i="5"/>
  <c r="Q23" i="5"/>
  <c r="P23" i="5"/>
  <c r="M23" i="5"/>
  <c r="L23" i="5"/>
  <c r="N23" i="5" s="1"/>
  <c r="D23" i="5"/>
  <c r="C23" i="5"/>
  <c r="S22" i="5"/>
  <c r="T22" i="5" s="1"/>
  <c r="R22" i="5"/>
  <c r="Q22" i="5"/>
  <c r="O22" i="5"/>
  <c r="M22" i="5"/>
  <c r="P22" i="5" s="1"/>
  <c r="L22" i="5"/>
  <c r="D22" i="5"/>
  <c r="C22" i="5"/>
  <c r="S21" i="5"/>
  <c r="R21" i="5"/>
  <c r="T21" i="5" s="1"/>
  <c r="P21" i="5"/>
  <c r="M21" i="5"/>
  <c r="Q21" i="5" s="1"/>
  <c r="L21" i="5"/>
  <c r="D21" i="5"/>
  <c r="C21" i="5"/>
  <c r="S20" i="5"/>
  <c r="T20" i="5" s="1"/>
  <c r="R20" i="5"/>
  <c r="M20" i="5"/>
  <c r="P20" i="5" s="1"/>
  <c r="L20" i="5"/>
  <c r="D20" i="5"/>
  <c r="C20" i="5"/>
  <c r="S19" i="5"/>
  <c r="R19" i="5"/>
  <c r="T19" i="5" s="1"/>
  <c r="P19" i="5"/>
  <c r="O19" i="5"/>
  <c r="N19" i="5"/>
  <c r="M19" i="5"/>
  <c r="Q19" i="5" s="1"/>
  <c r="L19" i="5"/>
  <c r="D19" i="5"/>
  <c r="C19" i="5"/>
  <c r="S18" i="5"/>
  <c r="R18" i="5"/>
  <c r="T18" i="5" s="1"/>
  <c r="Q18" i="5"/>
  <c r="O18" i="5"/>
  <c r="M18" i="5"/>
  <c r="L18" i="5"/>
  <c r="D18" i="5"/>
  <c r="C18" i="5"/>
  <c r="T17" i="5"/>
  <c r="S17" i="5"/>
  <c r="R17" i="5"/>
  <c r="Q17" i="5"/>
  <c r="P17" i="5"/>
  <c r="N17" i="5"/>
  <c r="M17" i="5"/>
  <c r="O17" i="5" s="1"/>
  <c r="L17" i="5"/>
  <c r="D17" i="5"/>
  <c r="C17" i="5"/>
  <c r="S16" i="5"/>
  <c r="T16" i="5" s="1"/>
  <c r="R16" i="5"/>
  <c r="Q16" i="5"/>
  <c r="P16" i="5"/>
  <c r="M16" i="5"/>
  <c r="L16" i="5"/>
  <c r="O16" i="5" s="1"/>
  <c r="D16" i="5"/>
  <c r="C16" i="5"/>
  <c r="S15" i="5"/>
  <c r="R15" i="5"/>
  <c r="T15" i="5" s="1"/>
  <c r="Q15" i="5"/>
  <c r="P15" i="5"/>
  <c r="M15" i="5"/>
  <c r="L15" i="5"/>
  <c r="O15" i="5" s="1"/>
  <c r="D15" i="5"/>
  <c r="C15" i="5"/>
  <c r="S14" i="5"/>
  <c r="R14" i="5"/>
  <c r="T14" i="5" s="1"/>
  <c r="M14" i="5"/>
  <c r="L14" i="5"/>
  <c r="D14" i="5"/>
  <c r="C14" i="5"/>
  <c r="S13" i="5"/>
  <c r="R13" i="5"/>
  <c r="T13" i="5" s="1"/>
  <c r="M13" i="5"/>
  <c r="L13" i="5"/>
  <c r="D13" i="5"/>
  <c r="C13" i="5"/>
  <c r="T12" i="5"/>
  <c r="S12" i="5"/>
  <c r="R12" i="5"/>
  <c r="Q12" i="5"/>
  <c r="O12" i="5"/>
  <c r="M12" i="5"/>
  <c r="L12" i="5"/>
  <c r="D12" i="5"/>
  <c r="C12" i="5"/>
  <c r="T11" i="5"/>
  <c r="S11" i="5"/>
  <c r="R11" i="5"/>
  <c r="P11" i="5"/>
  <c r="N11" i="5"/>
  <c r="M11" i="5"/>
  <c r="Q11" i="5" s="1"/>
  <c r="L11" i="5"/>
  <c r="D11" i="5"/>
  <c r="C11" i="5"/>
  <c r="S10" i="5"/>
  <c r="R10" i="5"/>
  <c r="T10" i="5" s="1"/>
  <c r="Q10" i="5"/>
  <c r="N10" i="5"/>
  <c r="M10" i="5"/>
  <c r="P10" i="5" s="1"/>
  <c r="L10" i="5"/>
  <c r="D10" i="5"/>
  <c r="C10" i="5"/>
  <c r="S9" i="5"/>
  <c r="R9" i="5"/>
  <c r="T9" i="5" s="1"/>
  <c r="M9" i="5"/>
  <c r="L9" i="5"/>
  <c r="N9" i="5" s="1"/>
  <c r="D9" i="5"/>
  <c r="C9" i="5"/>
  <c r="T8" i="5"/>
  <c r="S8" i="5"/>
  <c r="R8" i="5"/>
  <c r="M8" i="5"/>
  <c r="P8" i="5" s="1"/>
  <c r="L8" i="5"/>
  <c r="D8" i="5"/>
  <c r="C8" i="5"/>
  <c r="S7" i="5"/>
  <c r="R7" i="5"/>
  <c r="T7" i="5" s="1"/>
  <c r="Q7" i="5"/>
  <c r="P7" i="5"/>
  <c r="M7" i="5"/>
  <c r="L7" i="5"/>
  <c r="N7" i="5" s="1"/>
  <c r="D7" i="5"/>
  <c r="C7" i="5"/>
  <c r="T6" i="5"/>
  <c r="S6" i="5"/>
  <c r="R6" i="5"/>
  <c r="M6" i="5"/>
  <c r="P6" i="5" s="1"/>
  <c r="L6" i="5"/>
  <c r="D6" i="5"/>
  <c r="C6" i="5"/>
  <c r="S5" i="5"/>
  <c r="R5" i="5"/>
  <c r="T5" i="5" s="1"/>
  <c r="P5" i="5"/>
  <c r="M5" i="5"/>
  <c r="Q5" i="5" s="1"/>
  <c r="L5" i="5"/>
  <c r="O5" i="5" s="1"/>
  <c r="D5" i="5"/>
  <c r="C5" i="5"/>
  <c r="S4" i="5"/>
  <c r="T4" i="5" s="1"/>
  <c r="R4" i="5"/>
  <c r="M4" i="5"/>
  <c r="L4" i="5"/>
  <c r="D4" i="5"/>
  <c r="C4" i="5"/>
  <c r="S13" i="4"/>
  <c r="S12" i="4"/>
  <c r="S11" i="4"/>
  <c r="S10" i="4"/>
  <c r="S9" i="4"/>
  <c r="S8" i="4"/>
  <c r="S7" i="4"/>
  <c r="S6" i="4"/>
  <c r="S5" i="4"/>
  <c r="S4" i="4"/>
  <c r="B13" i="3"/>
  <c r="C5" i="1"/>
  <c r="A5" i="1"/>
  <c r="Q9" i="5" l="1"/>
  <c r="O9" i="5"/>
  <c r="P18" i="5"/>
  <c r="N18" i="5"/>
  <c r="AB6" i="7"/>
  <c r="X6" i="8" s="1"/>
  <c r="Y6" i="7"/>
  <c r="T6" i="8" s="1"/>
  <c r="X6" i="7"/>
  <c r="S6" i="8" s="1"/>
  <c r="A6" i="8"/>
  <c r="V6" i="7"/>
  <c r="Q6" i="8" s="1"/>
  <c r="F6" i="7"/>
  <c r="T6" i="7"/>
  <c r="D6" i="7"/>
  <c r="D6" i="8" s="1"/>
  <c r="C6" i="7"/>
  <c r="C6" i="8" s="1"/>
  <c r="B6" i="7"/>
  <c r="B6" i="8" s="1"/>
  <c r="P6" i="7"/>
  <c r="M6" i="8" s="1"/>
  <c r="O6" i="7"/>
  <c r="L6" i="8" s="1"/>
  <c r="N6" i="7"/>
  <c r="K6" i="8" s="1"/>
  <c r="C39" i="9"/>
  <c r="P11" i="7"/>
  <c r="M11" i="8" s="1"/>
  <c r="P7" i="7"/>
  <c r="M7" i="8" s="1"/>
  <c r="L9" i="10"/>
  <c r="B14" i="3"/>
  <c r="H8" i="10" s="1"/>
  <c r="J9" i="10"/>
  <c r="B2" i="1"/>
  <c r="H9" i="10"/>
  <c r="L6" i="10"/>
  <c r="B2" i="7"/>
  <c r="J6" i="10"/>
  <c r="E13" i="10"/>
  <c r="E9" i="10"/>
  <c r="C13" i="9"/>
  <c r="L11" i="10"/>
  <c r="G8" i="7"/>
  <c r="F8" i="8" s="1"/>
  <c r="B2" i="11"/>
  <c r="J7" i="10"/>
  <c r="G12" i="7"/>
  <c r="F12" i="8" s="1"/>
  <c r="B2" i="10"/>
  <c r="B2" i="8"/>
  <c r="Q30" i="5"/>
  <c r="P30" i="5"/>
  <c r="I14" i="7" s="1"/>
  <c r="L14" i="7" s="1"/>
  <c r="I14" i="8" s="1"/>
  <c r="N30" i="5"/>
  <c r="O30" i="5"/>
  <c r="G14" i="10" s="1"/>
  <c r="O8" i="8"/>
  <c r="O12" i="7"/>
  <c r="L12" i="8" s="1"/>
  <c r="N6" i="5"/>
  <c r="I8" i="7"/>
  <c r="O11" i="7"/>
  <c r="L11" i="8" s="1"/>
  <c r="Q4" i="5"/>
  <c r="J5" i="7" s="1"/>
  <c r="M5" i="7" s="1"/>
  <c r="N4" i="5"/>
  <c r="C11" i="16"/>
  <c r="D11" i="16" s="1"/>
  <c r="O4" i="5"/>
  <c r="Q20" i="5"/>
  <c r="O20" i="5"/>
  <c r="N20" i="5"/>
  <c r="O13" i="5"/>
  <c r="N13" i="5"/>
  <c r="O6" i="5"/>
  <c r="P13" i="5"/>
  <c r="U6" i="7"/>
  <c r="P6" i="8" s="1"/>
  <c r="O12" i="8"/>
  <c r="N15" i="5"/>
  <c r="Q6" i="5"/>
  <c r="Q13" i="5"/>
  <c r="I7" i="10" s="1"/>
  <c r="T28" i="5"/>
  <c r="C10" i="16" s="1"/>
  <c r="D10" i="16" s="1"/>
  <c r="W6" i="7"/>
  <c r="R6" i="8" s="1"/>
  <c r="O8" i="7"/>
  <c r="L8" i="8" s="1"/>
  <c r="E11" i="8"/>
  <c r="F11" i="7"/>
  <c r="K12" i="10"/>
  <c r="P4" i="5"/>
  <c r="O7" i="7"/>
  <c r="L7" i="8" s="1"/>
  <c r="X13" i="7"/>
  <c r="S13" i="8" s="1"/>
  <c r="W13" i="7"/>
  <c r="R13" i="8" s="1"/>
  <c r="G13" i="7"/>
  <c r="F13" i="8" s="1"/>
  <c r="V13" i="7"/>
  <c r="Q13" i="8" s="1"/>
  <c r="F13" i="7"/>
  <c r="U13" i="7"/>
  <c r="P13" i="8" s="1"/>
  <c r="E13" i="7"/>
  <c r="T13" i="7"/>
  <c r="D13" i="7"/>
  <c r="D13" i="8" s="1"/>
  <c r="B13" i="7"/>
  <c r="B13" i="8" s="1"/>
  <c r="P13" i="7"/>
  <c r="M13" i="8" s="1"/>
  <c r="O13" i="7"/>
  <c r="L13" i="8" s="1"/>
  <c r="N13" i="7"/>
  <c r="K13" i="8" s="1"/>
  <c r="AB13" i="7"/>
  <c r="X13" i="8" s="1"/>
  <c r="A13" i="8"/>
  <c r="J13" i="7"/>
  <c r="Y13" i="7"/>
  <c r="T13" i="8" s="1"/>
  <c r="I13" i="7"/>
  <c r="N8" i="5"/>
  <c r="O21" i="5"/>
  <c r="H9" i="7" s="1"/>
  <c r="N21" i="5"/>
  <c r="D5" i="10"/>
  <c r="P9" i="5"/>
  <c r="O8" i="5"/>
  <c r="O23" i="5"/>
  <c r="H10" i="7" s="1"/>
  <c r="E7" i="8"/>
  <c r="F7" i="7"/>
  <c r="X9" i="7"/>
  <c r="S9" i="8" s="1"/>
  <c r="W9" i="7"/>
  <c r="R9" i="8" s="1"/>
  <c r="G9" i="7"/>
  <c r="F9" i="8" s="1"/>
  <c r="V9" i="7"/>
  <c r="Q9" i="8" s="1"/>
  <c r="F9" i="7"/>
  <c r="U9" i="7"/>
  <c r="P9" i="8" s="1"/>
  <c r="E9" i="7"/>
  <c r="T9" i="7"/>
  <c r="D9" i="7"/>
  <c r="D9" i="8" s="1"/>
  <c r="B9" i="7"/>
  <c r="B9" i="8" s="1"/>
  <c r="P9" i="7"/>
  <c r="M9" i="8" s="1"/>
  <c r="O9" i="7"/>
  <c r="L9" i="8" s="1"/>
  <c r="N9" i="7"/>
  <c r="K9" i="8" s="1"/>
  <c r="AB9" i="7"/>
  <c r="X9" i="8" s="1"/>
  <c r="A9" i="8"/>
  <c r="J9" i="7"/>
  <c r="Y9" i="7"/>
  <c r="T9" i="8" s="1"/>
  <c r="I9" i="7"/>
  <c r="Q8" i="5"/>
  <c r="I7" i="7"/>
  <c r="L7" i="7" s="1"/>
  <c r="I7" i="8" s="1"/>
  <c r="C9" i="7"/>
  <c r="C9" i="8" s="1"/>
  <c r="H6" i="10"/>
  <c r="N5" i="5"/>
  <c r="P12" i="5"/>
  <c r="N12" i="5"/>
  <c r="O29" i="5"/>
  <c r="H13" i="7" s="1"/>
  <c r="N29" i="5"/>
  <c r="F13" i="10" s="1"/>
  <c r="Q29" i="5"/>
  <c r="P29" i="5"/>
  <c r="B15" i="3"/>
  <c r="C14" i="9" s="1"/>
  <c r="E8" i="1"/>
  <c r="X5" i="7"/>
  <c r="E32" i="9" s="1"/>
  <c r="H5" i="7"/>
  <c r="E24" i="9"/>
  <c r="W5" i="7"/>
  <c r="G5" i="7"/>
  <c r="F5" i="8" s="1"/>
  <c r="E23" i="9"/>
  <c r="V5" i="7"/>
  <c r="E30" i="9" s="1"/>
  <c r="F5" i="7"/>
  <c r="C17" i="16"/>
  <c r="D17" i="16" s="1"/>
  <c r="U5" i="7"/>
  <c r="E29" i="9" s="1"/>
  <c r="E5" i="7"/>
  <c r="T5" i="7"/>
  <c r="E28" i="9" s="1"/>
  <c r="D5" i="7"/>
  <c r="D5" i="8" s="1"/>
  <c r="B5" i="7"/>
  <c r="B5" i="8" s="1"/>
  <c r="E18" i="9"/>
  <c r="E31" i="9"/>
  <c r="P5" i="7"/>
  <c r="M5" i="8" s="1"/>
  <c r="O5" i="7"/>
  <c r="L5" i="8" s="1"/>
  <c r="N5" i="7"/>
  <c r="K5" i="8" s="1"/>
  <c r="C11" i="9"/>
  <c r="AB5" i="7"/>
  <c r="X5" i="8" s="1"/>
  <c r="C10" i="9"/>
  <c r="A5" i="8"/>
  <c r="Y5" i="7"/>
  <c r="AB14" i="7"/>
  <c r="X14" i="8" s="1"/>
  <c r="J14" i="7"/>
  <c r="Y14" i="7"/>
  <c r="T14" i="8" s="1"/>
  <c r="X14" i="7"/>
  <c r="S14" i="8" s="1"/>
  <c r="A14" i="8"/>
  <c r="F14" i="7"/>
  <c r="T14" i="7"/>
  <c r="D14" i="7"/>
  <c r="D14" i="8" s="1"/>
  <c r="C14" i="7"/>
  <c r="C14" i="8" s="1"/>
  <c r="R14" i="7"/>
  <c r="S14" i="7" s="1"/>
  <c r="V14" i="8" s="1"/>
  <c r="B14" i="7"/>
  <c r="B14" i="8" s="1"/>
  <c r="P14" i="7"/>
  <c r="M14" i="8" s="1"/>
  <c r="O14" i="7"/>
  <c r="L14" i="8" s="1"/>
  <c r="N14" i="7"/>
  <c r="K14" i="8" s="1"/>
  <c r="C6" i="11"/>
  <c r="B6" i="11"/>
  <c r="C7" i="11"/>
  <c r="C5" i="8"/>
  <c r="L7" i="10"/>
  <c r="Q14" i="5"/>
  <c r="P14" i="5"/>
  <c r="H7" i="10" s="1"/>
  <c r="N14" i="5"/>
  <c r="O14" i="5"/>
  <c r="N16" i="5"/>
  <c r="AB10" i="7"/>
  <c r="X10" i="8" s="1"/>
  <c r="J10" i="7"/>
  <c r="Y10" i="7"/>
  <c r="T10" i="8" s="1"/>
  <c r="I10" i="7"/>
  <c r="X10" i="7"/>
  <c r="S10" i="8" s="1"/>
  <c r="A10" i="8"/>
  <c r="V10" i="7"/>
  <c r="Q10" i="8" s="1"/>
  <c r="F10" i="7"/>
  <c r="T10" i="7"/>
  <c r="D10" i="7"/>
  <c r="D10" i="8" s="1"/>
  <c r="C10" i="7"/>
  <c r="C10" i="8" s="1"/>
  <c r="R10" i="7"/>
  <c r="S10" i="7" s="1"/>
  <c r="V10" i="8" s="1"/>
  <c r="B10" i="7"/>
  <c r="B10" i="8" s="1"/>
  <c r="P10" i="7"/>
  <c r="M10" i="8" s="1"/>
  <c r="O10" i="7"/>
  <c r="L10" i="8" s="1"/>
  <c r="N10" i="7"/>
  <c r="K10" i="8" s="1"/>
  <c r="G14" i="7"/>
  <c r="F14" i="8" s="1"/>
  <c r="C12" i="9"/>
  <c r="K8" i="10"/>
  <c r="O7" i="5"/>
  <c r="E10" i="7"/>
  <c r="Q26" i="5"/>
  <c r="E8" i="7"/>
  <c r="U8" i="7"/>
  <c r="P8" i="8" s="1"/>
  <c r="E12" i="7"/>
  <c r="F12" i="7" s="1"/>
  <c r="U12" i="7"/>
  <c r="P12" i="8" s="1"/>
  <c r="D6" i="10"/>
  <c r="L8" i="10"/>
  <c r="D10" i="10"/>
  <c r="H11" i="10"/>
  <c r="L12" i="10"/>
  <c r="D14" i="10"/>
  <c r="N22" i="5"/>
  <c r="G10" i="7" s="1"/>
  <c r="F10" i="8" s="1"/>
  <c r="B7" i="7"/>
  <c r="B7" i="8" s="1"/>
  <c r="R7" i="7"/>
  <c r="S7" i="7" s="1"/>
  <c r="V7" i="8" s="1"/>
  <c r="V8" i="7"/>
  <c r="Q8" i="8" s="1"/>
  <c r="B11" i="7"/>
  <c r="B11" i="8" s="1"/>
  <c r="R11" i="7"/>
  <c r="S11" i="7" s="1"/>
  <c r="V11" i="8" s="1"/>
  <c r="V12" i="7"/>
  <c r="Q12" i="8" s="1"/>
  <c r="A7" i="8"/>
  <c r="A11" i="8"/>
  <c r="E6" i="10"/>
  <c r="E10" i="10"/>
  <c r="I11" i="10"/>
  <c r="E14" i="10"/>
  <c r="O25" i="5"/>
  <c r="N28" i="5"/>
  <c r="D7" i="7"/>
  <c r="D7" i="8" s="1"/>
  <c r="T7" i="7"/>
  <c r="H8" i="7"/>
  <c r="X8" i="7"/>
  <c r="S8" i="8" s="1"/>
  <c r="D11" i="7"/>
  <c r="D11" i="8" s="1"/>
  <c r="T11" i="7"/>
  <c r="H12" i="7"/>
  <c r="X12" i="7"/>
  <c r="S12" i="8" s="1"/>
  <c r="C5" i="10"/>
  <c r="K7" i="10"/>
  <c r="C9" i="10"/>
  <c r="G10" i="10"/>
  <c r="K11" i="10"/>
  <c r="C13" i="10"/>
  <c r="P28" i="5"/>
  <c r="J8" i="7"/>
  <c r="J12" i="7"/>
  <c r="N24" i="5"/>
  <c r="K6" i="10"/>
  <c r="C8" i="10"/>
  <c r="K10" i="10"/>
  <c r="C12" i="10"/>
  <c r="G13" i="10"/>
  <c r="K14" i="10"/>
  <c r="O11" i="5"/>
  <c r="O27" i="5"/>
  <c r="N8" i="7"/>
  <c r="K8" i="8" s="1"/>
  <c r="N12" i="7"/>
  <c r="K12" i="8" s="1"/>
  <c r="A8" i="8"/>
  <c r="A12" i="8"/>
  <c r="E12" i="10"/>
  <c r="P8" i="7"/>
  <c r="M8" i="8" s="1"/>
  <c r="P12" i="7"/>
  <c r="M12" i="8" s="1"/>
  <c r="C7" i="10"/>
  <c r="G12" i="10"/>
  <c r="N7" i="7"/>
  <c r="K7" i="8" s="1"/>
  <c r="B8" i="7"/>
  <c r="B8" i="8" s="1"/>
  <c r="R8" i="7"/>
  <c r="S8" i="7" s="1"/>
  <c r="V8" i="8" s="1"/>
  <c r="N11" i="7"/>
  <c r="K11" i="8" s="1"/>
  <c r="B12" i="7"/>
  <c r="B12" i="8" s="1"/>
  <c r="R12" i="7"/>
  <c r="S12" i="7" s="1"/>
  <c r="V12" i="8" s="1"/>
  <c r="E7" i="10"/>
  <c r="I8" i="10"/>
  <c r="E11" i="10"/>
  <c r="I12" i="10"/>
  <c r="C8" i="7"/>
  <c r="C8" i="8" s="1"/>
  <c r="C12" i="7"/>
  <c r="C12" i="8" s="1"/>
  <c r="B6" i="10"/>
  <c r="F7" i="10"/>
  <c r="J8" i="10"/>
  <c r="B10" i="10"/>
  <c r="F11" i="10"/>
  <c r="J12" i="10"/>
  <c r="B14" i="10"/>
  <c r="O10" i="5"/>
  <c r="G6" i="10" s="1"/>
  <c r="D8" i="7"/>
  <c r="D8" i="8" s="1"/>
  <c r="D12" i="7"/>
  <c r="D12" i="8" s="1"/>
  <c r="G10" i="8" l="1"/>
  <c r="K10" i="7"/>
  <c r="H10" i="8" s="1"/>
  <c r="G9" i="8"/>
  <c r="K9" i="7"/>
  <c r="H9" i="8" s="1"/>
  <c r="G13" i="8"/>
  <c r="K13" i="7"/>
  <c r="J5" i="8"/>
  <c r="E21" i="9"/>
  <c r="B19" i="1"/>
  <c r="T5" i="8"/>
  <c r="I5" i="10"/>
  <c r="G9" i="10"/>
  <c r="C9" i="11"/>
  <c r="R5" i="8"/>
  <c r="B17" i="1"/>
  <c r="O9" i="8"/>
  <c r="Z9" i="7"/>
  <c r="U9" i="8" s="1"/>
  <c r="I13" i="10"/>
  <c r="O13" i="8"/>
  <c r="Z13" i="7"/>
  <c r="D13" i="10"/>
  <c r="J14" i="10"/>
  <c r="E8" i="10"/>
  <c r="D11" i="10"/>
  <c r="E9" i="8"/>
  <c r="E13" i="8"/>
  <c r="H14" i="10"/>
  <c r="I9" i="10"/>
  <c r="H12" i="10"/>
  <c r="H6" i="7"/>
  <c r="G12" i="8"/>
  <c r="K12" i="7"/>
  <c r="H12" i="8" s="1"/>
  <c r="H7" i="7"/>
  <c r="J5" i="10"/>
  <c r="L13" i="10"/>
  <c r="E5" i="10"/>
  <c r="E15" i="10" s="1"/>
  <c r="H11" i="7"/>
  <c r="F8" i="10"/>
  <c r="I6" i="7"/>
  <c r="L6" i="7" s="1"/>
  <c r="I6" i="8" s="1"/>
  <c r="Z10" i="7"/>
  <c r="U10" i="8" s="1"/>
  <c r="O10" i="8"/>
  <c r="E5" i="11"/>
  <c r="B8" i="11"/>
  <c r="O14" i="8"/>
  <c r="S5" i="8"/>
  <c r="B18" i="1"/>
  <c r="I6" i="10"/>
  <c r="H5" i="10"/>
  <c r="F12" i="10"/>
  <c r="O5" i="8"/>
  <c r="Z5" i="7"/>
  <c r="B14" i="1"/>
  <c r="L13" i="7"/>
  <c r="I13" i="8" s="1"/>
  <c r="J6" i="7"/>
  <c r="M6" i="7" s="1"/>
  <c r="J6" i="8" s="1"/>
  <c r="M12" i="7"/>
  <c r="J12" i="8" s="1"/>
  <c r="G8" i="8"/>
  <c r="E9" i="11"/>
  <c r="C8" i="11"/>
  <c r="E5" i="8"/>
  <c r="F6" i="10"/>
  <c r="I10" i="10"/>
  <c r="D8" i="10"/>
  <c r="J13" i="10"/>
  <c r="E7" i="11"/>
  <c r="E33" i="9"/>
  <c r="B15" i="1"/>
  <c r="P5" i="8"/>
  <c r="M13" i="7"/>
  <c r="J13" i="8" s="1"/>
  <c r="Z12" i="7"/>
  <c r="U12" i="8" s="1"/>
  <c r="L9" i="7"/>
  <c r="I9" i="8" s="1"/>
  <c r="O7" i="8"/>
  <c r="Z7" i="7"/>
  <c r="M9" i="7"/>
  <c r="J9" i="8" s="1"/>
  <c r="E10" i="8"/>
  <c r="F7" i="11"/>
  <c r="H14" i="7"/>
  <c r="E22" i="9"/>
  <c r="G7" i="10"/>
  <c r="F10" i="10"/>
  <c r="I14" i="10"/>
  <c r="L10" i="10"/>
  <c r="K5" i="10"/>
  <c r="E8" i="8"/>
  <c r="F8" i="7"/>
  <c r="M8" i="7" s="1"/>
  <c r="J8" i="8" s="1"/>
  <c r="F5" i="11"/>
  <c r="F9" i="11"/>
  <c r="E6" i="11"/>
  <c r="I11" i="7"/>
  <c r="L11" i="7" s="1"/>
  <c r="I11" i="8" s="1"/>
  <c r="J11" i="10"/>
  <c r="G7" i="7"/>
  <c r="F7" i="8" s="1"/>
  <c r="D12" i="10"/>
  <c r="G8" i="10"/>
  <c r="C26" i="16"/>
  <c r="G5" i="8"/>
  <c r="K5" i="7"/>
  <c r="L10" i="7"/>
  <c r="I10" i="8" s="1"/>
  <c r="E21" i="8"/>
  <c r="B21" i="8"/>
  <c r="B20" i="8"/>
  <c r="B23" i="8"/>
  <c r="E22" i="8"/>
  <c r="B19" i="8"/>
  <c r="B24" i="8" s="1"/>
  <c r="B22" i="8"/>
  <c r="E8" i="11"/>
  <c r="G11" i="10"/>
  <c r="F14" i="10"/>
  <c r="G11" i="7"/>
  <c r="F11" i="8" s="1"/>
  <c r="H13" i="10"/>
  <c r="K9" i="10"/>
  <c r="R6" i="7"/>
  <c r="S6" i="7" s="1"/>
  <c r="V6" i="8" s="1"/>
  <c r="E20" i="8" s="1"/>
  <c r="E12" i="8"/>
  <c r="B5" i="11"/>
  <c r="F6" i="11"/>
  <c r="F5" i="10"/>
  <c r="L14" i="10"/>
  <c r="K13" i="10"/>
  <c r="I12" i="7"/>
  <c r="L12" i="7" s="1"/>
  <c r="I12" i="8" s="1"/>
  <c r="M14" i="7"/>
  <c r="J14" i="8" s="1"/>
  <c r="Z8" i="7"/>
  <c r="L5" i="10"/>
  <c r="L15" i="10" s="1"/>
  <c r="G8" i="1"/>
  <c r="O11" i="8"/>
  <c r="Z11" i="7"/>
  <c r="U11" i="8" s="1"/>
  <c r="Q5" i="8"/>
  <c r="B9" i="11"/>
  <c r="G5" i="10"/>
  <c r="D9" i="10"/>
  <c r="F9" i="10"/>
  <c r="J7" i="7"/>
  <c r="M7" i="7" s="1"/>
  <c r="J7" i="8" s="1"/>
  <c r="D7" i="10"/>
  <c r="D15" i="10" s="1"/>
  <c r="Z6" i="7"/>
  <c r="O6" i="8"/>
  <c r="C9" i="16"/>
  <c r="M10" i="7"/>
  <c r="J10" i="8" s="1"/>
  <c r="B7" i="11"/>
  <c r="F8" i="11"/>
  <c r="C5" i="11"/>
  <c r="I5" i="7"/>
  <c r="L5" i="7" s="1"/>
  <c r="R5" i="7"/>
  <c r="S5" i="7" s="1"/>
  <c r="R9" i="7"/>
  <c r="S9" i="7" s="1"/>
  <c r="V9" i="8" s="1"/>
  <c r="R13" i="7"/>
  <c r="S13" i="7" s="1"/>
  <c r="V13" i="8" s="1"/>
  <c r="E23" i="8" s="1"/>
  <c r="G6" i="7"/>
  <c r="F6" i="8" s="1"/>
  <c r="H10" i="10"/>
  <c r="J10" i="10"/>
  <c r="J11" i="7"/>
  <c r="M11" i="7" s="1"/>
  <c r="J11" i="8" s="1"/>
  <c r="Q12" i="7" l="1"/>
  <c r="V5" i="8"/>
  <c r="E19" i="8" s="1"/>
  <c r="E24" i="8" s="1"/>
  <c r="E35" i="9"/>
  <c r="L8" i="7"/>
  <c r="I8" i="8" s="1"/>
  <c r="K8" i="7"/>
  <c r="E10" i="11"/>
  <c r="Q13" i="7"/>
  <c r="I5" i="8"/>
  <c r="E20" i="9"/>
  <c r="H5" i="8"/>
  <c r="D5" i="11"/>
  <c r="E19" i="9"/>
  <c r="K15" i="10"/>
  <c r="C10" i="11"/>
  <c r="Q9" i="7"/>
  <c r="I15" i="10"/>
  <c r="A8" i="1"/>
  <c r="G11" i="8"/>
  <c r="K11" i="7"/>
  <c r="U5" i="8"/>
  <c r="D19" i="8" s="1"/>
  <c r="H5" i="11"/>
  <c r="E34" i="9"/>
  <c r="D9" i="16"/>
  <c r="U8" i="8"/>
  <c r="D22" i="8" s="1"/>
  <c r="H8" i="11"/>
  <c r="G14" i="8"/>
  <c r="K14" i="7"/>
  <c r="J15" i="10"/>
  <c r="H13" i="8"/>
  <c r="D9" i="11"/>
  <c r="H15" i="10"/>
  <c r="G7" i="8"/>
  <c r="K7" i="7"/>
  <c r="U13" i="8"/>
  <c r="D23" i="8" s="1"/>
  <c r="H9" i="11"/>
  <c r="Q10" i="7"/>
  <c r="U6" i="8"/>
  <c r="D20" i="8" s="1"/>
  <c r="H6" i="11"/>
  <c r="G6" i="8"/>
  <c r="K6" i="7"/>
  <c r="F15" i="10"/>
  <c r="Q5" i="7"/>
  <c r="B26" i="16"/>
  <c r="D26" i="16" s="1"/>
  <c r="E26" i="16" s="1"/>
  <c r="G15" i="10"/>
  <c r="B10" i="11"/>
  <c r="F10" i="11"/>
  <c r="U7" i="8"/>
  <c r="N5" i="8" l="1"/>
  <c r="AA5" i="7"/>
  <c r="G5" i="11"/>
  <c r="E25" i="9"/>
  <c r="N9" i="8"/>
  <c r="AA9" i="7"/>
  <c r="W9" i="8" s="1"/>
  <c r="H6" i="8"/>
  <c r="Q6" i="7"/>
  <c r="D6" i="11"/>
  <c r="D10" i="11" s="1"/>
  <c r="H14" i="8"/>
  <c r="Q14" i="7"/>
  <c r="AA10" i="7"/>
  <c r="W10" i="8" s="1"/>
  <c r="N10" i="8"/>
  <c r="H7" i="8"/>
  <c r="Q7" i="7"/>
  <c r="D7" i="11"/>
  <c r="H11" i="8"/>
  <c r="Q11" i="7"/>
  <c r="C8" i="1"/>
  <c r="N13" i="8"/>
  <c r="C23" i="8" s="1"/>
  <c r="AA13" i="7"/>
  <c r="G9" i="11"/>
  <c r="H8" i="8"/>
  <c r="D8" i="11"/>
  <c r="Q8" i="7"/>
  <c r="N12" i="8"/>
  <c r="AA12" i="7"/>
  <c r="W12" i="8" s="1"/>
  <c r="N8" i="8" l="1"/>
  <c r="C22" i="8" s="1"/>
  <c r="AA8" i="7"/>
  <c r="G8" i="11"/>
  <c r="AA6" i="7"/>
  <c r="N6" i="8"/>
  <c r="G6" i="11"/>
  <c r="W13" i="8"/>
  <c r="F23" i="8" s="1"/>
  <c r="I9" i="11"/>
  <c r="N11" i="8"/>
  <c r="AA11" i="7"/>
  <c r="W11" i="8" s="1"/>
  <c r="C23" i="16"/>
  <c r="W5" i="8"/>
  <c r="E37" i="9"/>
  <c r="I5" i="11"/>
  <c r="N7" i="8"/>
  <c r="AA7" i="7"/>
  <c r="G7" i="11"/>
  <c r="G10" i="11" s="1"/>
  <c r="E5" i="1"/>
  <c r="N14" i="8"/>
  <c r="M27" i="12"/>
  <c r="N27" i="12" s="1"/>
  <c r="V14" i="7" s="1"/>
  <c r="B23" i="16"/>
  <c r="C19" i="8"/>
  <c r="Q14" i="8" l="1"/>
  <c r="Z14" i="7"/>
  <c r="B16" i="1"/>
  <c r="F19" i="8"/>
  <c r="C20" i="8"/>
  <c r="C24" i="8" s="1"/>
  <c r="D23" i="16"/>
  <c r="E23" i="16" s="1"/>
  <c r="W7" i="8"/>
  <c r="W6" i="8"/>
  <c r="F20" i="8" s="1"/>
  <c r="I6" i="11"/>
  <c r="C21" i="8"/>
  <c r="W8" i="8"/>
  <c r="F22" i="8" s="1"/>
  <c r="I8" i="11"/>
  <c r="U14" i="8" l="1"/>
  <c r="D21" i="8" s="1"/>
  <c r="D24" i="8" s="1"/>
  <c r="H7" i="11"/>
  <c r="H10" i="11" s="1"/>
  <c r="B25" i="16"/>
  <c r="G5" i="1"/>
  <c r="AA14" i="7"/>
  <c r="W14" i="8" l="1"/>
  <c r="C18" i="16"/>
  <c r="C25" i="16"/>
  <c r="D25" i="16" s="1"/>
  <c r="E25" i="16" s="1"/>
  <c r="C24" i="16"/>
  <c r="I5" i="1"/>
  <c r="I7" i="11"/>
  <c r="I10" i="11" s="1"/>
  <c r="F21" i="8" l="1"/>
  <c r="F24" i="8" s="1"/>
  <c r="B24" i="16"/>
  <c r="D24" i="16" s="1"/>
  <c r="E24" i="16" s="1"/>
  <c r="D18" i="16"/>
  <c r="B3" i="16"/>
  <c r="I8" i="1" s="1"/>
</calcChain>
</file>

<file path=xl/sharedStrings.xml><?xml version="1.0" encoding="utf-8"?>
<sst xmlns="http://schemas.openxmlformats.org/spreadsheetml/2006/main" count="898" uniqueCount="443">
  <si>
    <t>MANAGEMENT DASHBOARD</t>
  </si>
  <si>
    <t>Payroll period:</t>
  </si>
  <si>
    <t>Total Employees</t>
  </si>
  <si>
    <t>Active Employees</t>
  </si>
  <si>
    <t>Gross Payroll</t>
  </si>
  <si>
    <t>Total Deductions</t>
  </si>
  <si>
    <t>Net Payroll</t>
  </si>
  <si>
    <t>Total Overtime + Weekend + Holiday Hours</t>
  </si>
  <si>
    <t>Overtime / Weekend / Holiday Cost</t>
  </si>
  <si>
    <t>Total Approved Leave Days (period)</t>
  </si>
  <si>
    <t>Attendance Exceptions</t>
  </si>
  <si>
    <t>Audit Status</t>
  </si>
  <si>
    <t>Deduction Breakdown (source data for chart)</t>
  </si>
  <si>
    <t>Deduction</t>
  </si>
  <si>
    <t>Total</t>
  </si>
  <si>
    <t>Social Insurance</t>
  </si>
  <si>
    <t>Medical Insurance</t>
  </si>
  <si>
    <t>Employee Welfare Fund</t>
  </si>
  <si>
    <t>Pension</t>
  </si>
  <si>
    <t>Loan Repayment</t>
  </si>
  <si>
    <t>Salary Advance Recovery</t>
  </si>
  <si>
    <t>INSTRUCTIONS  —  How to use this workbook</t>
  </si>
  <si>
    <t>This is a jurisdiction-neutral monthly payroll &amp; timesheet template. It contains no statutory tax, social-security, or labor-law rules — every rate, multiplier, and deduction is configured by you in the Settings and Deductions sheets. Sheets marked SAMPLE DATA contain fictional example records; replace them with your own before running real payroll.</t>
  </si>
  <si>
    <t>Color Legend</t>
  </si>
  <si>
    <t xml:space="preserve">  </t>
  </si>
  <si>
    <t>Blue = User Input</t>
  </si>
  <si>
    <t>Gray = Automatic Calculation</t>
  </si>
  <si>
    <t>Green = Valid / Approved</t>
  </si>
  <si>
    <t>Yellow = Warning</t>
  </si>
  <si>
    <t>Red = Error / Review Required</t>
  </si>
  <si>
    <t>1. Configure Settings</t>
  </si>
  <si>
    <t>Open the Settings sheet and enter your company details, working hours, overtime multipliers, and salary-calculation method. Select the Payroll Month and Year you want to process.</t>
  </si>
  <si>
    <t>2. Review Lists</t>
  </si>
  <si>
    <t>Check the Lists sheet and edit the dropdown options (departments, leave types, etc.) to match your organization.</t>
  </si>
  <si>
    <t>3. Add employees</t>
  </si>
  <si>
    <t>Enter your employees in the Employees table. Employee ID must be unique — the Duplicate ID? column will flag repeats.</t>
  </si>
  <si>
    <t>4. Configure deductions</t>
  </si>
  <si>
    <t>Define your deduction types (percentage or fixed) in the top table on the Deductions sheet.</t>
  </si>
  <si>
    <t>5. Assign deductions to employees</t>
  </si>
  <si>
    <t>In the Employee Deduction Assignments table (also on the Deductions sheet), link each employee to the deductions that apply to them. Leave the override columns blank to use the default rate, or enter a value to override it for that employee.</t>
  </si>
  <si>
    <t>6. Configure allowances &amp; bonuses</t>
  </si>
  <si>
    <t>Enter one-off or recurring allowance and bonus amounts per employee and pay period on the Allowances &amp; Bonuses sheet.</t>
  </si>
  <si>
    <t>7. Add holidays</t>
  </si>
  <si>
    <t>List your public/company holidays on the Holidays sheet. Attendance automatically detects these dates.</t>
  </si>
  <si>
    <t>8. Enter attendance</t>
  </si>
  <si>
    <t>Record daily clock-in/out times on the Attendance sheet. Employee Name and Department populate automatically. Overnight shifts (Clock Out earlier than Clock In) are handled automatically.</t>
  </si>
  <si>
    <t>9. Enter leave</t>
  </si>
  <si>
    <t>Record leave requests on the Leave sheet, marking each as Paid or Unpaid and setting the Approval Status.</t>
  </si>
  <si>
    <t>10. Select the payroll month</t>
  </si>
  <si>
    <t>Confirm the Payroll Month/Year on the Settings sheet — all reports recalculate for that period automatically.</t>
  </si>
  <si>
    <t>11. Review Payroll</t>
  </si>
  <si>
    <t>Open the Payroll sheet to see the full calculation for every employee: earnings, hours, deductions, and net pay.</t>
  </si>
  <si>
    <t>12. Review Checks &amp; Audit</t>
  </si>
  <si>
    <t>Check the OVERALL STATUS on the Checks &amp; Audit sheet before releasing payroll. Investigate any row marked REVIEW.</t>
  </si>
  <si>
    <t>13. Review the Dashboard</t>
  </si>
  <si>
    <t>Use the Dashboard for a management-level view of headcount, payroll cost, overtime, and leave.</t>
  </si>
  <si>
    <t>14. Generate a payslip</t>
  </si>
  <si>
    <t>On the Employee Payslip sheet, choose an Employee ID from the dropdown to generate a print-ready payslip.</t>
  </si>
  <si>
    <t>15. Print / export reports</t>
  </si>
  <si>
    <t>Payroll Register, Timesheet Summary, Payroll Summary, and Employee Payslip are formatted for printing.</t>
  </si>
  <si>
    <t>Which cells should I edit?</t>
  </si>
  <si>
    <t>Edit the BLUE input cells and tables on: Settings, Employees, Attendance, Leave, Holidays, Deductions (both tables), Allowances &amp; Bonuses. GRAY cells and all cells on Payroll, Payroll Register, Employee Payslip, Timesheet Summary, Payroll Summary, Dashboard, and Checks &amp; Audit are automatic calculations — do not overwrite them.</t>
  </si>
  <si>
    <t>Adding more employees or records (scalability)</t>
  </si>
  <si>
    <t>All data sheets use native Excel Tables. To add a record, type into the row immediately below a table — Excel extends the table and copies formulas automatically. When you add a new employee, also add a corresponding row at the bottom of the Payroll table (and Timesheet Summary) so it is included in the calculations; the Employee ID formula will pick up the new employee automatically.</t>
  </si>
  <si>
    <t>Key assumptions in this template</t>
  </si>
  <si>
    <t>•  Weekend days are Saturday and Sunday whenever Standard Working Days Per Week = 5 (edit the logic if your rest days differ).</t>
  </si>
  <si>
    <t>•  Unpaid leave is valued using the method chosen in Settings (Working Days, Calendar Days, or Monthly Hours).</t>
  </si>
  <si>
    <t>•  Hourly rate = Monthly Basic Salary / Monthly Hours Divisor (Settings).</t>
  </si>
  <si>
    <t>•  All overtime multipliers, deduction rates, and allowance amounts are examples only — replace with your own.</t>
  </si>
  <si>
    <t>SETTINGS  —  Configure all payroll assumptions here</t>
  </si>
  <si>
    <t>Company Settings</t>
  </si>
  <si>
    <t>Company Name</t>
  </si>
  <si>
    <t>Displayed on payslips and reports.</t>
  </si>
  <si>
    <t>Address</t>
  </si>
  <si>
    <t>18 Palm Business Park, Suite 400</t>
  </si>
  <si>
    <t>Company mailing address.</t>
  </si>
  <si>
    <t>Phone</t>
  </si>
  <si>
    <t>+1 555 010 2200</t>
  </si>
  <si>
    <t>Payroll contact phone.</t>
  </si>
  <si>
    <t>Email</t>
  </si>
  <si>
    <t>Payroll contact email.</t>
  </si>
  <si>
    <t>Currency</t>
  </si>
  <si>
    <t>3-letter currency code shown on reports (format label only).</t>
  </si>
  <si>
    <t>Payroll Administrator</t>
  </si>
  <si>
    <t>Dana Whitfield</t>
  </si>
  <si>
    <t>Name shown as report preparer.</t>
  </si>
  <si>
    <t>Payroll Frequency</t>
  </si>
  <si>
    <t>Monthly</t>
  </si>
  <si>
    <t>Fixed for this template — monthly payroll only.</t>
  </si>
  <si>
    <t>Payroll Month (1-12)</t>
  </si>
  <si>
    <t>Select the month to process. All reports follow this selection.</t>
  </si>
  <si>
    <t>Payroll Year</t>
  </si>
  <si>
    <t>Select the year to process.</t>
  </si>
  <si>
    <t>Payroll Period Start</t>
  </si>
  <si>
    <t>Calculated automatically from Month/Year above.</t>
  </si>
  <si>
    <t>Payroll Period End</t>
  </si>
  <si>
    <t>Calculated automatically (last day of the selected month).</t>
  </si>
  <si>
    <t>Payment Date</t>
  </si>
  <si>
    <t>Date salaries are paid. Enter manually each period.</t>
  </si>
  <si>
    <t>Working Time Settings</t>
  </si>
  <si>
    <t>Standard Working Hours Per Day</t>
  </si>
  <si>
    <t>Normal hours before overtime applies on a working day.</t>
  </si>
  <si>
    <t>Standard Working Hours Per Week</t>
  </si>
  <si>
    <t>Reference figure only (not used to gate overtime in this template).</t>
  </si>
  <si>
    <t>Standard Working Days Per Week</t>
  </si>
  <si>
    <t>Used to identify weekends (Sat/Sun treated as rest days when this is 5).</t>
  </si>
  <si>
    <t>Normal Start Time</t>
  </si>
  <si>
    <t>08:00</t>
  </si>
  <si>
    <t>Scheduled start used as default and for late-arrival checks.</t>
  </si>
  <si>
    <t>Normal End Time</t>
  </si>
  <si>
    <t>17:00</t>
  </si>
  <si>
    <t>Scheduled end used as default and for early-departure checks.</t>
  </si>
  <si>
    <t>Standard Break Duration (hours)</t>
  </si>
  <si>
    <t>Default unpaid break length used when break times are blank.</t>
  </si>
  <si>
    <t>Grace Period for Late Arrival (minutes)</t>
  </si>
  <si>
    <t>Minutes an employee may clock in after start time without being marked late.</t>
  </si>
  <si>
    <t>Maximum Normal Hours Per Day</t>
  </si>
  <si>
    <t>Hours above this on a working day are treated as overtime.</t>
  </si>
  <si>
    <t>Overtime Settings  (examples only — not statutory rates)</t>
  </si>
  <si>
    <t>Normal Overtime Multiplier</t>
  </si>
  <si>
    <t>Example only. Applied to hourly rate for weekday overtime hours.</t>
  </si>
  <si>
    <t>Weekend Overtime Multiplier</t>
  </si>
  <si>
    <t>Example only. Applied to hourly rate for hours worked on a rest day.</t>
  </si>
  <si>
    <t>Public Holiday Overtime Multiplier</t>
  </si>
  <si>
    <t>Example only. Applied to hourly rate for hours worked on a public holiday.</t>
  </si>
  <si>
    <t>Salary Calculation Settings</t>
  </si>
  <si>
    <t>Monthly Hours Divisor (for hourly rate)</t>
  </si>
  <si>
    <t>Hourly Rate = Monthly Basic Salary / this value. Example: 26 days x 8 hrs.</t>
  </si>
  <si>
    <t>Working Days Divisor (per month)</t>
  </si>
  <si>
    <t>Used when the unpaid-leave method below is 'Working Days'.</t>
  </si>
  <si>
    <t>Unpaid Leave Calculation Method</t>
  </si>
  <si>
    <t>Working Days</t>
  </si>
  <si>
    <t>Choose the divisor basis used to value one day of unpaid leave.</t>
  </si>
  <si>
    <t>Rounding Method</t>
  </si>
  <si>
    <t>Normal Round</t>
  </si>
  <si>
    <t>How final pay amounts are rounded.</t>
  </si>
  <si>
    <t>Number of Decimal Places</t>
  </si>
  <si>
    <t>Decimal places used when rounding pay amounts.</t>
  </si>
  <si>
    <t>EMPLOYEES  —  Master employee list (blue cells = enter your own data)</t>
  </si>
  <si>
    <t>Employee ID</t>
  </si>
  <si>
    <t>Employee Name</t>
  </si>
  <si>
    <t>First Name</t>
  </si>
  <si>
    <t>Last Name</t>
  </si>
  <si>
    <t>Department</t>
  </si>
  <si>
    <t>Job Title</t>
  </si>
  <si>
    <t>Location</t>
  </si>
  <si>
    <t>Manager</t>
  </si>
  <si>
    <t>Employment Type</t>
  </si>
  <si>
    <t>Employment Status</t>
  </si>
  <si>
    <t>Date Joined</t>
  </si>
  <si>
    <t>Date Left</t>
  </si>
  <si>
    <t>Monthly Basic Salary</t>
  </si>
  <si>
    <t>Standard Hours Per Day</t>
  </si>
  <si>
    <t>Standard Hours Per Week</t>
  </si>
  <si>
    <t>Overtime Eligible?</t>
  </si>
  <si>
    <t>Default Shift</t>
  </si>
  <si>
    <t>Notes</t>
  </si>
  <si>
    <t>Duplicate ID?</t>
  </si>
  <si>
    <t>E001</t>
  </si>
  <si>
    <t>Amelia Carter</t>
  </si>
  <si>
    <t>Amelia</t>
  </si>
  <si>
    <t>Carter</t>
  </si>
  <si>
    <t>Sales</t>
  </si>
  <si>
    <t>Sales Associate</t>
  </si>
  <si>
    <t>Head Office</t>
  </si>
  <si>
    <t>Michael Reyes</t>
  </si>
  <si>
    <t>Full-Time</t>
  </si>
  <si>
    <t>Active</t>
  </si>
  <si>
    <t>Yes</t>
  </si>
  <si>
    <t>Day</t>
  </si>
  <si>
    <t>E002</t>
  </si>
  <si>
    <t>Brian Osei</t>
  </si>
  <si>
    <t>Brian</t>
  </si>
  <si>
    <t>Osei</t>
  </si>
  <si>
    <t>Operations</t>
  </si>
  <si>
    <t>Warehouse Supervisor</t>
  </si>
  <si>
    <t>Warehouse A</t>
  </si>
  <si>
    <t>Grace Njoroge</t>
  </si>
  <si>
    <t>E003</t>
  </si>
  <si>
    <t>Carla Mendes</t>
  </si>
  <si>
    <t>Carla</t>
  </si>
  <si>
    <t>Mendes</t>
  </si>
  <si>
    <t>Finance</t>
  </si>
  <si>
    <t>Accountant</t>
  </si>
  <si>
    <t>No</t>
  </si>
  <si>
    <t>E004</t>
  </si>
  <si>
    <t>David Kim</t>
  </si>
  <si>
    <t>David</t>
  </si>
  <si>
    <t>Kim</t>
  </si>
  <si>
    <t>IT &amp; Engineering</t>
  </si>
  <si>
    <t>Software Engineer</t>
  </si>
  <si>
    <t>Remote</t>
  </si>
  <si>
    <t>Priya Anand</t>
  </si>
  <si>
    <t>E005</t>
  </si>
  <si>
    <t>Elena Petrova</t>
  </si>
  <si>
    <t>Elena</t>
  </si>
  <si>
    <t>Petrova</t>
  </si>
  <si>
    <t>On unpaid leave this period</t>
  </si>
  <si>
    <t>E006</t>
  </si>
  <si>
    <t>Farhan Ali</t>
  </si>
  <si>
    <t>Farhan</t>
  </si>
  <si>
    <t>Ali</t>
  </si>
  <si>
    <t>Forklift Operator</t>
  </si>
  <si>
    <t>Night</t>
  </si>
  <si>
    <t>Regular night shift worker</t>
  </si>
  <si>
    <t>E007</t>
  </si>
  <si>
    <t>Grace</t>
  </si>
  <si>
    <t>Njoroge</t>
  </si>
  <si>
    <t>Warehouse Manager</t>
  </si>
  <si>
    <t>E008</t>
  </si>
  <si>
    <t>Hiro Tanaka</t>
  </si>
  <si>
    <t>Hiro</t>
  </si>
  <si>
    <t>Tanaka</t>
  </si>
  <si>
    <t>IT Support Technician</t>
  </si>
  <si>
    <t>Has fixed loan deduction</t>
  </si>
  <si>
    <t>E009</t>
  </si>
  <si>
    <t>Isabella Rossi</t>
  </si>
  <si>
    <t>Isabella</t>
  </si>
  <si>
    <t>Rossi</t>
  </si>
  <si>
    <t>Human Resources</t>
  </si>
  <si>
    <t>HR Coordinator</t>
  </si>
  <si>
    <t>E010</t>
  </si>
  <si>
    <t>Jonah Baptiste</t>
  </si>
  <si>
    <t>Jonah</t>
  </si>
  <si>
    <t>Baptiste</t>
  </si>
  <si>
    <t>Financial Analyst</t>
  </si>
  <si>
    <t>Multiple deductions w/ % override</t>
  </si>
  <si>
    <t>ATTENDANCE  —  Daily timesheet records (overnight shifts handled automatically)</t>
  </si>
  <si>
    <t>Date</t>
  </si>
  <si>
    <t>Shift</t>
  </si>
  <si>
    <t>Scheduled Start</t>
  </si>
  <si>
    <t>Scheduled End</t>
  </si>
  <si>
    <t>Clock In</t>
  </si>
  <si>
    <t>Clock Out</t>
  </si>
  <si>
    <t>Break Start</t>
  </si>
  <si>
    <t>Break End</t>
  </si>
  <si>
    <t>Break Hours</t>
  </si>
  <si>
    <t>Total Hours</t>
  </si>
  <si>
    <t>Regular Hours</t>
  </si>
  <si>
    <t>Overtime Hours</t>
  </si>
  <si>
    <t>Weekend Hours</t>
  </si>
  <si>
    <t>Public Holiday Hours</t>
  </si>
  <si>
    <t>Late Minutes</t>
  </si>
  <si>
    <t>Early Departure Minutes</t>
  </si>
  <si>
    <t>Attendance Status</t>
  </si>
  <si>
    <t>Approval Status</t>
  </si>
  <si>
    <t>Approved</t>
  </si>
  <si>
    <t>SAMPLE DATA</t>
  </si>
  <si>
    <t>SAMPLE DATA — duplicate record (intentional error for Audit demo)</t>
  </si>
  <si>
    <t>SAMPLE DATA — late arrival</t>
  </si>
  <si>
    <t>SAMPLE DATA — overtime</t>
  </si>
  <si>
    <t>SAMPLE DATA — worked on public holiday (Labor Day)</t>
  </si>
  <si>
    <t>SAMPLE DATA — worked on Saturday (weekend)</t>
  </si>
  <si>
    <t>Pending</t>
  </si>
  <si>
    <t>SAMPLE DATA — missing Clock Out</t>
  </si>
  <si>
    <t>SAMPLE DATA — recorded during approved unpaid leave (exception for Audit demo)</t>
  </si>
  <si>
    <t>SAMPLE DATA — overnight shift</t>
  </si>
  <si>
    <t>LEAVE  —  Employee leave records</t>
  </si>
  <si>
    <t>Leave ID</t>
  </si>
  <si>
    <t>Leave Type</t>
  </si>
  <si>
    <t>Start Date</t>
  </si>
  <si>
    <t>End Date</t>
  </si>
  <si>
    <t>Number of Days</t>
  </si>
  <si>
    <t>Paid/Unpaid</t>
  </si>
  <si>
    <t>Approved By</t>
  </si>
  <si>
    <t>L001</t>
  </si>
  <si>
    <t>Unpaid Leave</t>
  </si>
  <si>
    <t>Unpaid</t>
  </si>
  <si>
    <t>L002</t>
  </si>
  <si>
    <t>Annual Leave</t>
  </si>
  <si>
    <t>Paid</t>
  </si>
  <si>
    <t>L003</t>
  </si>
  <si>
    <t>Sick Leave</t>
  </si>
  <si>
    <t>L004</t>
  </si>
  <si>
    <t>Emergency Leave</t>
  </si>
  <si>
    <t>SAMPLE DATA — pending approval, excluded from payroll until approved</t>
  </si>
  <si>
    <t>PAYROLL  —  Monthly payroll calculation (auto-generated for the period selected in Settings)</t>
  </si>
  <si>
    <t>Hourly Rate</t>
  </si>
  <si>
    <t>Holiday Hours</t>
  </si>
  <si>
    <t>Overtime Pay</t>
  </si>
  <si>
    <t>Weekend Pay</t>
  </si>
  <si>
    <t>Holiday Pay</t>
  </si>
  <si>
    <t>Allowances</t>
  </si>
  <si>
    <t>Bonuses</t>
  </si>
  <si>
    <t>Other Earnings</t>
  </si>
  <si>
    <t>Gross Earnings</t>
  </si>
  <si>
    <t>Unpaid Leave Days</t>
  </si>
  <si>
    <t>Unpaid Leave Deduction</t>
  </si>
  <si>
    <t>Net Pay</t>
  </si>
  <si>
    <t>Payroll Status</t>
  </si>
  <si>
    <t>PAYROLL REGISTER  —  One row per employee for the selected payroll period</t>
  </si>
  <si>
    <t>Summary by Department</t>
  </si>
  <si>
    <t>Employee Count</t>
  </si>
  <si>
    <t>GRAND TOTAL</t>
  </si>
  <si>
    <t>EMPLOYEE PAYSLIP</t>
  </si>
  <si>
    <t>Select Employee ID:</t>
  </si>
  <si>
    <t>(choose from dropdown)</t>
  </si>
  <si>
    <t>Employee Details</t>
  </si>
  <si>
    <t>Pay Period</t>
  </si>
  <si>
    <t>Earnings</t>
  </si>
  <si>
    <t>Amount</t>
  </si>
  <si>
    <t>Basic Salary</t>
  </si>
  <si>
    <t>GROSS EARNINGS</t>
  </si>
  <si>
    <t>Deductions</t>
  </si>
  <si>
    <t>Rate</t>
  </si>
  <si>
    <t>TOTAL DEDUCTIONS</t>
  </si>
  <si>
    <t>NET PAY</t>
  </si>
  <si>
    <t>Payroll Reference</t>
  </si>
  <si>
    <t>Employee Acknowledgement / Signature: ___________________________</t>
  </si>
  <si>
    <t>Authorized By / Signature: ___________________________</t>
  </si>
  <si>
    <t>This is a system-generated payslip based on template sample data. Replace with your own payroll data.</t>
  </si>
  <si>
    <t>TIMESHEET SUMMARY  —  Employee attendance totals for the selected payroll period</t>
  </si>
  <si>
    <t>Days Present</t>
  </si>
  <si>
    <t>Leave Days</t>
  </si>
  <si>
    <t>TOTAL</t>
  </si>
  <si>
    <t>PAYROLL SUMMARY  —  Management summary by department</t>
  </si>
  <si>
    <t>COMPANY GRAND TOTAL</t>
  </si>
  <si>
    <t>DEDUCTIONS  —  Configure deduction types, rates, and employee assignments</t>
  </si>
  <si>
    <t>Note: all percentages and fixed amounts below are SAMPLE VALUES only — edit freely. None represent statutory or legal requirements.</t>
  </si>
  <si>
    <t>Deduction Types</t>
  </si>
  <si>
    <t>Deduction ID</t>
  </si>
  <si>
    <t>Deduction Name</t>
  </si>
  <si>
    <t>Deduction Type</t>
  </si>
  <si>
    <t>Percentage</t>
  </si>
  <si>
    <t>Fixed Amount</t>
  </si>
  <si>
    <t>Calculation Base</t>
  </si>
  <si>
    <t>Active?</t>
  </si>
  <si>
    <t>Description</t>
  </si>
  <si>
    <t>D01</t>
  </si>
  <si>
    <t>SAMPLE — employee-side social insurance contribution</t>
  </si>
  <si>
    <t>D02</t>
  </si>
  <si>
    <t>SAMPLE — employee-side medical insurance contribution</t>
  </si>
  <si>
    <t>D03</t>
  </si>
  <si>
    <t>SAMPLE — welfare fund contribution on gross earnings</t>
  </si>
  <si>
    <t>D04</t>
  </si>
  <si>
    <t>SAMPLE — pension contribution</t>
  </si>
  <si>
    <t>D05</t>
  </si>
  <si>
    <t>N/A</t>
  </si>
  <si>
    <t>SAMPLE — fixed monthly loan installment, assign individually</t>
  </si>
  <si>
    <t>D06</t>
  </si>
  <si>
    <t>SAMPLE — fixed recovery of prior salary advance, assign individually</t>
  </si>
  <si>
    <t>Employee Deduction Assignments</t>
  </si>
  <si>
    <t>Effective From</t>
  </si>
  <si>
    <t>Effective To</t>
  </si>
  <si>
    <t>Percentage Override</t>
  </si>
  <si>
    <t>Fixed Amount Override</t>
  </si>
  <si>
    <t>Deduction Type (auto)</t>
  </si>
  <si>
    <t>Calculation Base (auto)</t>
  </si>
  <si>
    <t>Effective %</t>
  </si>
  <si>
    <t>Effective Fixed</t>
  </si>
  <si>
    <t>Base Amount</t>
  </si>
  <si>
    <t>Deduction Amount</t>
  </si>
  <si>
    <t>SAMPLE</t>
  </si>
  <si>
    <t>SAMPLE — fixed loan deduction example</t>
  </si>
  <si>
    <t>SAMPLE — employee-specific % override (4% instead of default 5%)</t>
  </si>
  <si>
    <t>SAMPLE — multiple deductions on same employee</t>
  </si>
  <si>
    <t>ALLOWANCES &amp; BONUSES  —  Extra pay items by employee and pay period</t>
  </si>
  <si>
    <t>Category</t>
  </si>
  <si>
    <t>Type</t>
  </si>
  <si>
    <t>Taxable?</t>
  </si>
  <si>
    <t>Approved?</t>
  </si>
  <si>
    <t>Allowance</t>
  </si>
  <si>
    <t>Housing Allowance</t>
  </si>
  <si>
    <t>Monthly housing allowance</t>
  </si>
  <si>
    <t>Transport Allowance</t>
  </si>
  <si>
    <t>Monthly transport allowance</t>
  </si>
  <si>
    <t>Meal Allowance</t>
  </si>
  <si>
    <t>Monthly meal allowance</t>
  </si>
  <si>
    <t>Bonus</t>
  </si>
  <si>
    <t>Performance Bonus</t>
  </si>
  <si>
    <t>Q3 performance bonus</t>
  </si>
  <si>
    <t>Communication Allowance</t>
  </si>
  <si>
    <t>Monthly phone/data allowance</t>
  </si>
  <si>
    <t>Night Shift Allowance</t>
  </si>
  <si>
    <t>Night shift differential</t>
  </si>
  <si>
    <t>Attendance Bonus</t>
  </si>
  <si>
    <t>Perfect attendance bonus</t>
  </si>
  <si>
    <t>Other</t>
  </si>
  <si>
    <t>Referral Bonus</t>
  </si>
  <si>
    <t>Employee referral payout</t>
  </si>
  <si>
    <t>HOLIDAYS  —  Manually maintained public/company holiday calendar</t>
  </si>
  <si>
    <t>Holiday Date</t>
  </si>
  <si>
    <t>Holiday Name</t>
  </si>
  <si>
    <t>Holiday Type</t>
  </si>
  <si>
    <t>Paid?</t>
  </si>
  <si>
    <t>Labor Day</t>
  </si>
  <si>
    <t>Public Holiday</t>
  </si>
  <si>
    <t>SAMPLE DATA — replace with your own calendar</t>
  </si>
  <si>
    <t>Founders Day</t>
  </si>
  <si>
    <t>Company Holiday</t>
  </si>
  <si>
    <t>LISTS  —  Dropdown source lists (edit to customize your options)</t>
  </si>
  <si>
    <t>Payment Status</t>
  </si>
  <si>
    <t>Yes/No</t>
  </si>
  <si>
    <t>Allowance/Bonus Category</t>
  </si>
  <si>
    <t>Part-Time</t>
  </si>
  <si>
    <t>Inactive</t>
  </si>
  <si>
    <t>Contract</t>
  </si>
  <si>
    <t>Terminated</t>
  </si>
  <si>
    <t>Rotating</t>
  </si>
  <si>
    <t>Rejected</t>
  </si>
  <si>
    <t>On Hold</t>
  </si>
  <si>
    <t>CHECKS &amp; AUDIT  —  Automated data-quality and payroll reconciliation checks</t>
  </si>
  <si>
    <t>OVERALL STATUS:</t>
  </si>
  <si>
    <t>#</t>
  </si>
  <si>
    <t>Check</t>
  </si>
  <si>
    <t>Result / Count</t>
  </si>
  <si>
    <t>Status</t>
  </si>
  <si>
    <t>Duplicate Employee IDs</t>
  </si>
  <si>
    <t>Counts employee rows whose Employee ID appears more than once.</t>
  </si>
  <si>
    <t>Duplicate attendance records (same Employee + Date)</t>
  </si>
  <si>
    <t>Flags rows sharing the same Employee ID and Date (e.g. sample E001 / 01-Sep-2026).</t>
  </si>
  <si>
    <t>Missing Employee Name/Department (Employees sheet)</t>
  </si>
  <si>
    <t>Employee master rows missing required fields.</t>
  </si>
  <si>
    <t>Attendance: Missing Clock In</t>
  </si>
  <si>
    <t>Rows where an employee has no recorded Clock In time.</t>
  </si>
  <si>
    <t>Attendance: Missing Clock Out</t>
  </si>
  <si>
    <t>Rows where an employee has no recorded Clock Out time.</t>
  </si>
  <si>
    <t>Attendance: Excessive hours (&gt;16 in a day)</t>
  </si>
  <si>
    <t>Total clocked hours exceeding 16 in a single day — verify entry.</t>
  </si>
  <si>
    <t>Attendance: Unapproved records (Approval Status &lt;&gt; Approved)</t>
  </si>
  <si>
    <t>Attendance rows still Pending or Rejected.</t>
  </si>
  <si>
    <t>Attendance recorded during approved leave</t>
  </si>
  <si>
    <t>Attendance rows that fall inside an approved leave date range for the same employee.</t>
  </si>
  <si>
    <t>Missing / invalid Deduction Type on Deductions sheet</t>
  </si>
  <si>
    <t>Deduction Type must be 'Percentage' or 'Fixed Amount'.</t>
  </si>
  <si>
    <t>Invalid deduction percentage (negative or &gt;100%)</t>
  </si>
  <si>
    <t>Percentage values must be between 0% and 100%.</t>
  </si>
  <si>
    <t>Duplicate deduction assignments (same Employee + Deduction, both Active)</t>
  </si>
  <si>
    <t>The same deduction assigned more than once to the same active employee.</t>
  </si>
  <si>
    <t>Employees with no Payroll calculation row</t>
  </si>
  <si>
    <t>Every employee in the master list should have a matching row in the Payroll table.</t>
  </si>
  <si>
    <t>Payroll rows with negative Net Pay</t>
  </si>
  <si>
    <t>Net Pay should never be negative — review deductions if flagged.</t>
  </si>
  <si>
    <t>Payroll Reconciliation</t>
  </si>
  <si>
    <t>Value A</t>
  </si>
  <si>
    <t>Value B</t>
  </si>
  <si>
    <t>Difference</t>
  </si>
  <si>
    <t>Payroll Register Gross Earnings = Sum of Payroll Gross Earnings</t>
  </si>
  <si>
    <t>Payroll Register Net Pay = Sum of Payroll Net Pay</t>
  </si>
  <si>
    <t>Total Deductions = Gross Earnings - Net Pay - Unpaid Leave Deduction (company total)</t>
  </si>
  <si>
    <t>Timesheet Overtime Hours = Payroll Overtime Hours used in calculation</t>
  </si>
  <si>
    <t>payroll@mohammed.example</t>
  </si>
  <si>
    <t>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</si>
</sst>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dd\-mmm\-yyyy"/>
    <numFmt numFmtId="166" formatCode="hh:mm"/>
    <numFmt numFmtId="167" formatCode="0.0"/>
    <numFmt numFmtId="168" formatCode="mmm\-yyyy"/>
  </numFmts>
  <fonts count="19" x14ac:knownFonts="1">
    <font>
      <sz val="11"/>
      <color theme="1"/>
      <name val="Calibri"/>
      <family val="2"/>
      <charset val="1"/>
    </font>
    <font>
      <b/>
      <sz val="16"/>
      <color rgb="FFFFFFFF"/>
      <name val="Calibri"/>
      <charset val="1"/>
    </font>
    <font>
      <b/>
      <sz val="10"/>
      <color rgb="FF000000"/>
      <name val="Calibri"/>
      <charset val="1"/>
    </font>
    <font>
      <b/>
      <sz val="10"/>
      <color rgb="FF1F3864"/>
      <name val="Calibri"/>
      <charset val="1"/>
    </font>
    <font>
      <b/>
      <sz val="9"/>
      <color rgb="FFFFFFFF"/>
      <name val="Calibri"/>
      <charset val="1"/>
    </font>
    <font>
      <b/>
      <sz val="15"/>
      <color rgb="FF1F3864"/>
      <name val="Calibri"/>
      <charset val="1"/>
    </font>
    <font>
      <b/>
      <sz val="11"/>
      <color rgb="FFFFFFFF"/>
      <name val="Calibri"/>
      <charset val="1"/>
    </font>
    <font>
      <b/>
      <sz val="10"/>
      <color rgb="FFFFFFFF"/>
      <name val="Calibri"/>
      <charset val="1"/>
    </font>
    <font>
      <sz val="10"/>
      <color rgb="FF000000"/>
      <name val="Calibri"/>
      <charset val="1"/>
    </font>
    <font>
      <i/>
      <sz val="10"/>
      <color rgb="FF000000"/>
      <name val="Calibri"/>
      <charset val="1"/>
    </font>
    <font>
      <i/>
      <sz val="9"/>
      <color rgb="FF000000"/>
      <name val="Calibri"/>
      <charset val="1"/>
    </font>
    <font>
      <i/>
      <sz val="9"/>
      <color rgb="FF595959"/>
      <name val="Calibri"/>
      <charset val="1"/>
    </font>
    <font>
      <b/>
      <sz val="14"/>
      <color rgb="FF1F3864"/>
      <name val="Calibri"/>
      <charset val="1"/>
    </font>
    <font>
      <sz val="9"/>
      <color rgb="FF000000"/>
      <name val="Calibri"/>
      <charset val="1"/>
    </font>
    <font>
      <b/>
      <sz val="13"/>
      <color rgb="FFFFFFFF"/>
      <name val="Calibri"/>
      <charset val="1"/>
    </font>
    <font>
      <i/>
      <sz val="8"/>
      <color rgb="FF9C0006"/>
      <name val="Calibri"/>
      <charset val="1"/>
    </font>
    <font>
      <i/>
      <sz val="9"/>
      <color rgb="FF9C0006"/>
      <name val="Calibri"/>
      <charset val="1"/>
    </font>
    <font>
      <b/>
      <sz val="13"/>
      <name val="Calibri"/>
      <charset val="1"/>
    </font>
    <font>
      <u/>
      <sz val="11"/>
      <color theme="10"/>
      <name val="Calibri"/>
      <family val="2"/>
      <charset val="1"/>
    </font>
  </fonts>
  <fills count="11">
    <fill>
      <patternFill patternType="none"/>
    </fill>
    <fill>
      <patternFill patternType="gray125"/>
    </fill>
    <fill>
      <patternFill patternType="solid">
        <fgColor rgb="FF1F3864"/>
        <bgColor rgb="FF2E5395"/>
      </patternFill>
    </fill>
    <fill>
      <patternFill patternType="solid">
        <fgColor rgb="FFF2F2F2"/>
        <bgColor rgb="FFFFFFFF"/>
      </patternFill>
    </fill>
    <fill>
      <patternFill patternType="solid">
        <fgColor rgb="FF2E5395"/>
        <bgColor rgb="FF1F3864"/>
      </patternFill>
    </fill>
    <fill>
      <patternFill patternType="solid">
        <fgColor rgb="FFDCE6F1"/>
        <bgColor rgb="FFD9E8FB"/>
      </patternFill>
    </fill>
    <fill>
      <patternFill patternType="solid">
        <fgColor rgb="FFD9E8FB"/>
        <bgColor rgb="FFDCE6F1"/>
      </patternFill>
    </fill>
    <fill>
      <patternFill patternType="solid">
        <fgColor rgb="FFC6E0B4"/>
        <bgColor rgb="FFD9D9D9"/>
      </patternFill>
    </fill>
    <fill>
      <patternFill patternType="solid">
        <fgColor rgb="FFFFE699"/>
        <bgColor rgb="FFF8CBAD"/>
      </patternFill>
    </fill>
    <fill>
      <patternFill patternType="solid">
        <fgColor rgb="FFF8CBAD"/>
        <bgColor rgb="FFFFE699"/>
      </patternFill>
    </fill>
    <fill>
      <patternFill patternType="solid">
        <fgColor rgb="FFFFFFFF"/>
        <bgColor rgb="FFF2F2F2"/>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2">
    <xf numFmtId="0" fontId="0" fillId="0" borderId="0"/>
    <xf numFmtId="0" fontId="18" fillId="0" borderId="0" applyNumberFormat="0" applyFill="0" applyBorder="0" applyAlignment="0" applyProtection="0"/>
  </cellStyleXfs>
  <cellXfs count="60">
    <xf numFmtId="0" fontId="0" fillId="0" borderId="0" xfId="0"/>
    <xf numFmtId="0" fontId="8" fillId="0" borderId="0" xfId="0" applyFont="1"/>
    <xf numFmtId="165" fontId="8" fillId="3" borderId="1" xfId="0" applyNumberFormat="1" applyFont="1" applyFill="1" applyBorder="1"/>
    <xf numFmtId="0" fontId="8" fillId="3" borderId="1" xfId="0" applyFont="1" applyFill="1" applyBorder="1"/>
    <xf numFmtId="0" fontId="2" fillId="0" borderId="0" xfId="0" applyFont="1"/>
    <xf numFmtId="0" fontId="3" fillId="3" borderId="1" xfId="0" applyFont="1" applyFill="1" applyBorder="1"/>
    <xf numFmtId="0" fontId="7" fillId="2" borderId="1" xfId="0" applyFont="1" applyFill="1" applyBorder="1" applyAlignment="1">
      <alignment horizontal="center" vertical="center" wrapText="1"/>
    </xf>
    <xf numFmtId="4" fontId="8" fillId="3" borderId="1" xfId="0" applyNumberFormat="1" applyFont="1" applyFill="1" applyBorder="1"/>
    <xf numFmtId="0" fontId="0" fillId="6" borderId="1" xfId="0" applyFill="1" applyBorder="1"/>
    <xf numFmtId="0" fontId="10" fillId="0" borderId="0" xfId="0" applyFont="1"/>
    <xf numFmtId="0" fontId="0" fillId="3" borderId="1" xfId="0" applyFill="1" applyBorder="1"/>
    <xf numFmtId="0" fontId="0" fillId="7" borderId="1" xfId="0" applyFill="1" applyBorder="1"/>
    <xf numFmtId="0" fontId="0" fillId="8" borderId="1" xfId="0" applyFill="1" applyBorder="1"/>
    <xf numFmtId="0" fontId="0" fillId="9" borderId="1" xfId="0" applyFill="1" applyBorder="1"/>
    <xf numFmtId="0" fontId="8" fillId="6" borderId="1" xfId="0" applyFont="1" applyFill="1" applyBorder="1"/>
    <xf numFmtId="0" fontId="11" fillId="0" borderId="0" xfId="0" applyFont="1" applyAlignment="1">
      <alignment vertical="center" wrapText="1"/>
    </xf>
    <xf numFmtId="1" fontId="8" fillId="6" borderId="1" xfId="0" applyNumberFormat="1" applyFont="1" applyFill="1" applyBorder="1"/>
    <xf numFmtId="0" fontId="11" fillId="0" borderId="0" xfId="0" applyFont="1"/>
    <xf numFmtId="165" fontId="8" fillId="6" borderId="1" xfId="0" applyNumberFormat="1" applyFont="1" applyFill="1" applyBorder="1"/>
    <xf numFmtId="2" fontId="8" fillId="6" borderId="1" xfId="0" applyNumberFormat="1" applyFont="1" applyFill="1" applyBorder="1"/>
    <xf numFmtId="166" fontId="8" fillId="6" borderId="1" xfId="0" applyNumberFormat="1" applyFont="1" applyFill="1" applyBorder="1"/>
    <xf numFmtId="4" fontId="8" fillId="6" borderId="1" xfId="0" applyNumberFormat="1" applyFont="1" applyFill="1" applyBorder="1"/>
    <xf numFmtId="165" fontId="0" fillId="6" borderId="1" xfId="0" applyNumberFormat="1" applyFill="1" applyBorder="1"/>
    <xf numFmtId="166" fontId="0" fillId="6" borderId="1" xfId="0" applyNumberFormat="1" applyFill="1" applyBorder="1"/>
    <xf numFmtId="2" fontId="8" fillId="3" borderId="1" xfId="0" applyNumberFormat="1" applyFont="1" applyFill="1" applyBorder="1"/>
    <xf numFmtId="1" fontId="8" fillId="3" borderId="1" xfId="0" applyNumberFormat="1" applyFont="1" applyFill="1" applyBorder="1"/>
    <xf numFmtId="0" fontId="8" fillId="0" borderId="1" xfId="0" applyFont="1" applyBorder="1"/>
    <xf numFmtId="167" fontId="8" fillId="3" borderId="1" xfId="0" applyNumberFormat="1" applyFont="1" applyFill="1" applyBorder="1"/>
    <xf numFmtId="1" fontId="2" fillId="3" borderId="1" xfId="0" applyNumberFormat="1" applyFont="1" applyFill="1" applyBorder="1"/>
    <xf numFmtId="4" fontId="2" fillId="3" borderId="1" xfId="0" applyNumberFormat="1" applyFont="1" applyFill="1" applyBorder="1"/>
    <xf numFmtId="0" fontId="13" fillId="0" borderId="0" xfId="0" applyFont="1"/>
    <xf numFmtId="0" fontId="7" fillId="4" borderId="0" xfId="0" applyFont="1" applyFill="1"/>
    <xf numFmtId="4" fontId="14" fillId="2" borderId="1" xfId="0" applyNumberFormat="1" applyFont="1" applyFill="1" applyBorder="1"/>
    <xf numFmtId="10" fontId="8" fillId="6" borderId="1" xfId="0" applyNumberFormat="1" applyFont="1" applyFill="1" applyBorder="1"/>
    <xf numFmtId="10" fontId="8" fillId="3" borderId="1" xfId="0" applyNumberFormat="1" applyFont="1" applyFill="1" applyBorder="1"/>
    <xf numFmtId="168" fontId="8" fillId="6" borderId="1" xfId="0" applyNumberFormat="1" applyFont="1" applyFill="1" applyBorder="1"/>
    <xf numFmtId="0" fontId="7" fillId="2" borderId="0" xfId="0" applyFont="1" applyFill="1" applyAlignment="1">
      <alignment horizontal="center"/>
    </xf>
    <xf numFmtId="0" fontId="17" fillId="0" borderId="0" xfId="0" applyFont="1"/>
    <xf numFmtId="0" fontId="11" fillId="0" borderId="0" xfId="0" applyFont="1" applyAlignment="1">
      <alignment wrapText="1"/>
    </xf>
    <xf numFmtId="0" fontId="6" fillId="4" borderId="0" xfId="0" applyFont="1" applyFill="1" applyAlignment="1">
      <alignment horizontal="left" vertical="center" indent="1"/>
    </xf>
    <xf numFmtId="164" fontId="5" fillId="5" borderId="0" xfId="0" applyNumberFormat="1" applyFont="1" applyFill="1" applyAlignment="1">
      <alignment horizontal="center" vertical="center"/>
    </xf>
    <xf numFmtId="3" fontId="5" fillId="5" borderId="0" xfId="0" applyNumberFormat="1" applyFont="1" applyFill="1" applyAlignment="1">
      <alignment horizontal="center" vertical="center"/>
    </xf>
    <xf numFmtId="1" fontId="5" fillId="5" borderId="0" xfId="0" applyNumberFormat="1" applyFont="1" applyFill="1" applyAlignment="1">
      <alignment horizontal="center" vertical="center"/>
    </xf>
    <xf numFmtId="0" fontId="5" fillId="5" borderId="0" xfId="0" applyFont="1" applyFill="1" applyAlignment="1">
      <alignment horizontal="center" vertical="center"/>
    </xf>
    <xf numFmtId="0" fontId="4" fillId="4" borderId="0" xfId="0" applyFont="1" applyFill="1" applyAlignment="1">
      <alignment horizontal="center" vertical="center" wrapText="1"/>
    </xf>
    <xf numFmtId="0" fontId="1" fillId="2" borderId="0" xfId="0" applyFont="1" applyFill="1" applyAlignment="1">
      <alignment horizontal="left" vertical="center" indent="1"/>
    </xf>
    <xf numFmtId="0" fontId="8" fillId="0" borderId="0" xfId="0" applyFont="1" applyAlignment="1">
      <alignment wrapText="1"/>
    </xf>
    <xf numFmtId="0" fontId="8" fillId="0" borderId="0" xfId="0" applyFont="1" applyAlignment="1">
      <alignment vertical="top" wrapText="1"/>
    </xf>
    <xf numFmtId="0" fontId="9" fillId="0" borderId="0" xfId="0" applyFont="1" applyAlignment="1">
      <alignment vertical="top" wrapText="1"/>
    </xf>
    <xf numFmtId="0" fontId="2" fillId="0" borderId="0" xfId="0" applyFont="1"/>
    <xf numFmtId="0" fontId="8" fillId="0" borderId="0" xfId="0" applyFont="1"/>
    <xf numFmtId="0" fontId="14" fillId="2" borderId="0" xfId="0" applyFont="1" applyFill="1" applyAlignment="1">
      <alignment vertical="center" indent="1"/>
    </xf>
    <xf numFmtId="0" fontId="8" fillId="3" borderId="1" xfId="0" applyFont="1" applyFill="1" applyBorder="1"/>
    <xf numFmtId="0" fontId="15" fillId="0" borderId="0" xfId="0" applyFont="1"/>
    <xf numFmtId="165" fontId="8" fillId="3" borderId="1" xfId="0" applyNumberFormat="1" applyFont="1" applyFill="1" applyBorder="1"/>
    <xf numFmtId="0" fontId="12" fillId="10" borderId="1" xfId="0" applyFont="1" applyFill="1" applyBorder="1"/>
    <xf numFmtId="0" fontId="16" fillId="0" borderId="0" xfId="0" applyFont="1"/>
    <xf numFmtId="0" fontId="17" fillId="3" borderId="1" xfId="0" applyFont="1" applyFill="1" applyBorder="1"/>
    <xf numFmtId="0" fontId="0" fillId="0" borderId="0" xfId="0"/>
    <xf numFmtId="0" fontId="18" fillId="6" borderId="1" xfId="1" applyFill="1" applyBorder="1"/>
  </cellXfs>
  <cellStyles count="2">
    <cellStyle name="Hyperlink" xfId="1" builtinId="8"/>
    <cellStyle name="Normal" xfId="0" builtinId="0"/>
  </cellStyles>
  <dxfs count="13">
    <dxf>
      <fill>
        <patternFill>
          <bgColor rgb="FFF8CBAD"/>
        </patternFill>
      </fill>
    </dxf>
    <dxf>
      <fill>
        <patternFill>
          <bgColor rgb="FFC6E0B4"/>
        </patternFill>
      </fill>
    </dxf>
    <dxf>
      <fill>
        <patternFill>
          <bgColor rgb="FFF8CBAD"/>
        </patternFill>
      </fill>
    </dxf>
    <dxf>
      <fill>
        <patternFill>
          <bgColor rgb="FFC6E0B4"/>
        </patternFill>
      </fill>
    </dxf>
    <dxf>
      <fill>
        <patternFill>
          <bgColor rgb="FFF8CBAD"/>
        </patternFill>
      </fill>
    </dxf>
    <dxf>
      <fill>
        <patternFill>
          <bgColor rgb="FFC6E0B4"/>
        </patternFill>
      </fill>
    </dxf>
    <dxf>
      <fill>
        <patternFill>
          <bgColor rgb="FFFFE699"/>
        </patternFill>
      </fill>
    </dxf>
    <dxf>
      <fill>
        <patternFill>
          <bgColor rgb="FFFFE699"/>
        </patternFill>
      </fill>
    </dxf>
    <dxf>
      <fill>
        <patternFill>
          <bgColor rgb="FFFFE699"/>
        </patternFill>
      </fill>
    </dxf>
    <dxf>
      <fill>
        <patternFill>
          <bgColor rgb="FFFFE699"/>
        </patternFill>
      </fill>
    </dxf>
    <dxf>
      <fill>
        <patternFill>
          <bgColor rgb="FFF8CBAD"/>
        </patternFill>
      </fill>
    </dxf>
    <dxf>
      <fill>
        <patternFill>
          <bgColor rgb="FFF8CBAD"/>
        </patternFill>
      </fill>
    </dxf>
    <dxf>
      <fill>
        <patternFill>
          <bgColor rgb="FFC6E0B4"/>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7B7B7"/>
      <rgbColor rgb="FF878787"/>
      <rgbColor rgb="FF9999FF"/>
      <rgbColor rgb="FFC0504D"/>
      <rgbColor rgb="FFF2F2F2"/>
      <rgbColor rgb="FFD9E8FB"/>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CE6F1"/>
      <rgbColor rgb="FFC6E0B4"/>
      <rgbColor rgb="FFFFE699"/>
      <rgbColor rgb="FF99CCFF"/>
      <rgbColor rgb="FFFF99CC"/>
      <rgbColor rgb="FFCC99FF"/>
      <rgbColor rgb="FFF8CBAD"/>
      <rgbColor rgb="FF4F81BD"/>
      <rgbColor rgb="FF4BACC6"/>
      <rgbColor rgb="FF9BBB59"/>
      <rgbColor rgb="FFFFCC00"/>
      <rgbColor rgb="FFF79646"/>
      <rgbColor rgb="FFFF6600"/>
      <rgbColor rgb="FF8064A2"/>
      <rgbColor rgb="FF969696"/>
      <rgbColor rgb="FF1F3864"/>
      <rgbColor rgb="FF339966"/>
      <rgbColor rgb="FF003300"/>
      <rgbColor rgb="FF333300"/>
      <rgbColor rgb="FF993300"/>
      <rgbColor rgb="FF993366"/>
      <rgbColor rgb="FF2E5395"/>
      <rgbColor rgb="FF59595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Gross vs Net Payroll by Department</a:t>
            </a:r>
          </a:p>
        </c:rich>
      </c:tx>
      <c:overlay val="0"/>
      <c:spPr>
        <a:noFill/>
        <a:ln w="0">
          <a:noFill/>
        </a:ln>
      </c:spPr>
    </c:title>
    <c:autoTitleDeleted val="0"/>
    <c:plotArea>
      <c:layout/>
      <c:barChart>
        <c:barDir val="col"/>
        <c:grouping val="clustered"/>
        <c:varyColors val="0"/>
        <c:ser>
          <c:idx val="0"/>
          <c:order val="0"/>
          <c:tx>
            <c:strRef>
              <c:f>'Payroll Summary'!$G$4</c:f>
              <c:strCache>
                <c:ptCount val="1"/>
                <c:pt idx="0">
                  <c:v>Gross Earnings</c:v>
                </c:pt>
              </c:strCache>
            </c:strRef>
          </c:tx>
          <c:spPr>
            <a:solidFill>
              <a:srgbClr val="4F81BD"/>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'Payroll Summary'!$A$5:$A$9</c:f>
              <c:strCache>
                <c:ptCount val="5"/>
                <c:pt idx="0">
                  <c:v>Sales</c:v>
                </c:pt>
                <c:pt idx="1">
                  <c:v>Operations</c:v>
                </c:pt>
                <c:pt idx="2">
                  <c:v>Finance</c:v>
                </c:pt>
                <c:pt idx="3">
                  <c:v>IT &amp; Engineering</c:v>
                </c:pt>
                <c:pt idx="4">
                  <c:v>Human Resources</c:v>
                </c:pt>
              </c:strCache>
            </c:strRef>
          </c:cat>
          <c:val>
            <c:numRef>
              <c:f>'Payroll Summary'!$G$5:$G$9</c:f>
              <c:numCache>
                <c:formatCode>#,##0.00</c:formatCode>
                <c:ptCount val="5"/>
                <c:pt idx="0">
                  <c:v>8853.8461538461543</c:v>
                </c:pt>
                <c:pt idx="1">
                  <c:v>16650</c:v>
                </c:pt>
                <c:pt idx="2">
                  <c:v>12759.975961538461</c:v>
                </c:pt>
                <c:pt idx="3">
                  <c:v>12600</c:v>
                </c:pt>
                <c:pt idx="4">
                  <c:v>4500</c:v>
                </c:pt>
              </c:numCache>
            </c:numRef>
          </c:val>
          <c:extLst>
            <c:ext xmlns:c16="http://schemas.microsoft.com/office/drawing/2014/chart" uri="{C3380CC4-5D6E-409C-BE32-E72D297353CC}">
              <c16:uniqueId val="{00000000-C2B4-497A-B9C9-EDDBA45443C3}"/>
            </c:ext>
          </c:extLst>
        </c:ser>
        <c:ser>
          <c:idx val="1"/>
          <c:order val="1"/>
          <c:tx>
            <c:strRef>
              <c:f>'Payroll Summary'!$I$4</c:f>
              <c:strCache>
                <c:ptCount val="1"/>
                <c:pt idx="0">
                  <c:v>Net Payroll</c:v>
                </c:pt>
              </c:strCache>
            </c:strRef>
          </c:tx>
          <c:spPr>
            <a:solidFill>
              <a:srgbClr val="C0504D"/>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'Payroll Summary'!$A$5:$A$9</c:f>
              <c:strCache>
                <c:ptCount val="5"/>
                <c:pt idx="0">
                  <c:v>Sales</c:v>
                </c:pt>
                <c:pt idx="1">
                  <c:v>Operations</c:v>
                </c:pt>
                <c:pt idx="2">
                  <c:v>Finance</c:v>
                </c:pt>
                <c:pt idx="3">
                  <c:v>IT &amp; Engineering</c:v>
                </c:pt>
                <c:pt idx="4">
                  <c:v>Human Resources</c:v>
                </c:pt>
              </c:strCache>
            </c:strRef>
          </c:cat>
          <c:val>
            <c:numRef>
              <c:f>'Payroll Summary'!$I$5:$I$9</c:f>
              <c:numCache>
                <c:formatCode>#,##0.00</c:formatCode>
                <c:ptCount val="5"/>
                <c:pt idx="0">
                  <c:v>8086.7692307692314</c:v>
                </c:pt>
                <c:pt idx="1">
                  <c:v>16065</c:v>
                </c:pt>
                <c:pt idx="2">
                  <c:v>11873.876201923076</c:v>
                </c:pt>
                <c:pt idx="3">
                  <c:v>12216</c:v>
                </c:pt>
                <c:pt idx="4">
                  <c:v>4500</c:v>
                </c:pt>
              </c:numCache>
            </c:numRef>
          </c:val>
          <c:extLst>
            <c:ext xmlns:c16="http://schemas.microsoft.com/office/drawing/2014/chart" uri="{C3380CC4-5D6E-409C-BE32-E72D297353CC}">
              <c16:uniqueId val="{00000001-C2B4-497A-B9C9-EDDBA45443C3}"/>
            </c:ext>
          </c:extLst>
        </c:ser>
        <c:dLbls>
          <c:showLegendKey val="0"/>
          <c:showVal val="0"/>
          <c:showCatName val="0"/>
          <c:showSerName val="0"/>
          <c:showPercent val="0"/>
          <c:showBubbleSize val="0"/>
        </c:dLbls>
        <c:gapWidth val="150"/>
        <c:axId val="96691988"/>
        <c:axId val="88889921"/>
      </c:barChart>
      <c:catAx>
        <c:axId val="9669198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8889921"/>
        <c:crosses val="autoZero"/>
        <c:auto val="1"/>
        <c:lblAlgn val="ctr"/>
        <c:lblOffset val="100"/>
        <c:noMultiLvlLbl val="0"/>
      </c:catAx>
      <c:valAx>
        <c:axId val="88889921"/>
        <c:scaling>
          <c:orientation val="minMax"/>
        </c:scaling>
        <c:delete val="0"/>
        <c:axPos val="l"/>
        <c:majorGridlines>
          <c:spPr>
            <a:ln w="9360">
              <a:solidFill>
                <a:srgbClr val="878787"/>
              </a:solidFill>
              <a:round/>
            </a:ln>
          </c:spPr>
        </c:majorGridlines>
        <c:numFmt formatCode="#,##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669198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Deduction Breakdown</a:t>
            </a:r>
          </a:p>
        </c:rich>
      </c:tx>
      <c:overlay val="0"/>
      <c:spPr>
        <a:noFill/>
        <a:ln w="0">
          <a:noFill/>
        </a:ln>
      </c:spPr>
    </c:title>
    <c:autoTitleDeleted val="0"/>
    <c:plotArea>
      <c:layout/>
      <c:pieChart>
        <c:varyColors val="1"/>
        <c:ser>
          <c:idx val="0"/>
          <c:order val="0"/>
          <c:tx>
            <c:strRef>
              <c:f>Dashboard!$B$13</c:f>
              <c:strCache>
                <c:ptCount val="1"/>
                <c:pt idx="0">
                  <c:v>Total</c:v>
                </c:pt>
              </c:strCache>
            </c:strRef>
          </c:tx>
          <c:spPr>
            <a:solidFill>
              <a:srgbClr val="4F81BD"/>
            </a:solidFill>
            <a:ln w="0">
              <a:noFill/>
            </a:ln>
          </c:spPr>
          <c:dPt>
            <c:idx val="0"/>
            <c:bubble3D val="0"/>
            <c:extLst>
              <c:ext xmlns:c16="http://schemas.microsoft.com/office/drawing/2014/chart" uri="{C3380CC4-5D6E-409C-BE32-E72D297353CC}">
                <c16:uniqueId val="{00000001-775E-4074-AE91-C91D521256E8}"/>
              </c:ext>
            </c:extLst>
          </c:dPt>
          <c:dPt>
            <c:idx val="1"/>
            <c:bubble3D val="0"/>
            <c:spPr>
              <a:solidFill>
                <a:srgbClr val="C0504D"/>
              </a:solidFill>
              <a:ln w="0">
                <a:noFill/>
              </a:ln>
            </c:spPr>
            <c:extLst>
              <c:ext xmlns:c16="http://schemas.microsoft.com/office/drawing/2014/chart" uri="{C3380CC4-5D6E-409C-BE32-E72D297353CC}">
                <c16:uniqueId val="{00000003-775E-4074-AE91-C91D521256E8}"/>
              </c:ext>
            </c:extLst>
          </c:dPt>
          <c:dPt>
            <c:idx val="2"/>
            <c:bubble3D val="0"/>
            <c:spPr>
              <a:solidFill>
                <a:srgbClr val="9BBB59"/>
              </a:solidFill>
              <a:ln w="0">
                <a:noFill/>
              </a:ln>
            </c:spPr>
            <c:extLst>
              <c:ext xmlns:c16="http://schemas.microsoft.com/office/drawing/2014/chart" uri="{C3380CC4-5D6E-409C-BE32-E72D297353CC}">
                <c16:uniqueId val="{00000005-775E-4074-AE91-C91D521256E8}"/>
              </c:ext>
            </c:extLst>
          </c:dPt>
          <c:dPt>
            <c:idx val="3"/>
            <c:bubble3D val="0"/>
            <c:spPr>
              <a:solidFill>
                <a:srgbClr val="8064A2"/>
              </a:solidFill>
              <a:ln w="0">
                <a:noFill/>
              </a:ln>
            </c:spPr>
            <c:extLst>
              <c:ext xmlns:c16="http://schemas.microsoft.com/office/drawing/2014/chart" uri="{C3380CC4-5D6E-409C-BE32-E72D297353CC}">
                <c16:uniqueId val="{00000007-775E-4074-AE91-C91D521256E8}"/>
              </c:ext>
            </c:extLst>
          </c:dPt>
          <c:dPt>
            <c:idx val="4"/>
            <c:bubble3D val="0"/>
            <c:spPr>
              <a:solidFill>
                <a:srgbClr val="4BACC6"/>
              </a:solidFill>
              <a:ln w="0">
                <a:noFill/>
              </a:ln>
            </c:spPr>
            <c:extLst>
              <c:ext xmlns:c16="http://schemas.microsoft.com/office/drawing/2014/chart" uri="{C3380CC4-5D6E-409C-BE32-E72D297353CC}">
                <c16:uniqueId val="{00000009-775E-4074-AE91-C91D521256E8}"/>
              </c:ext>
            </c:extLst>
          </c:dPt>
          <c:dPt>
            <c:idx val="5"/>
            <c:bubble3D val="0"/>
            <c:spPr>
              <a:solidFill>
                <a:srgbClr val="F79646"/>
              </a:solidFill>
              <a:ln w="0">
                <a:noFill/>
              </a:ln>
            </c:spPr>
            <c:extLst>
              <c:ext xmlns:c16="http://schemas.microsoft.com/office/drawing/2014/chart" uri="{C3380CC4-5D6E-409C-BE32-E72D297353CC}">
                <c16:uniqueId val="{0000000B-775E-4074-AE91-C91D521256E8}"/>
              </c:ext>
            </c:extLst>
          </c:dPt>
          <c:dLbls>
            <c:dLbl>
              <c:idx val="0"/>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775E-4074-AE91-C91D521256E8}"/>
                </c:ext>
              </c:extLst>
            </c:dLbl>
            <c:dLbl>
              <c:idx val="1"/>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775E-4074-AE91-C91D521256E8}"/>
                </c:ext>
              </c:extLst>
            </c:dLbl>
            <c:dLbl>
              <c:idx val="2"/>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775E-4074-AE91-C91D521256E8}"/>
                </c:ext>
              </c:extLst>
            </c:dLbl>
            <c:dLbl>
              <c:idx val="3"/>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7-775E-4074-AE91-C91D521256E8}"/>
                </c:ext>
              </c:extLst>
            </c:dLbl>
            <c:dLbl>
              <c:idx val="4"/>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9-775E-4074-AE91-C91D521256E8}"/>
                </c:ext>
              </c:extLst>
            </c:dLbl>
            <c:dLbl>
              <c:idx val="5"/>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B-775E-4074-AE91-C91D521256E8}"/>
                </c:ext>
              </c:extLst>
            </c:dLbl>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1"/>
            <c:extLst>
              <c:ext xmlns:c15="http://schemas.microsoft.com/office/drawing/2012/chart" uri="{CE6537A1-D6FC-4f65-9D91-7224C49458BB}"/>
            </c:extLst>
          </c:dLbls>
          <c:cat>
            <c:strRef>
              <c:f>Dashboard!$A$14:$A$19</c:f>
              <c:strCache>
                <c:ptCount val="6"/>
                <c:pt idx="0">
                  <c:v>Social Insurance</c:v>
                </c:pt>
                <c:pt idx="1">
                  <c:v>Medical Insurance</c:v>
                </c:pt>
                <c:pt idx="2">
                  <c:v>Employee Welfare Fund</c:v>
                </c:pt>
                <c:pt idx="3">
                  <c:v>Pension</c:v>
                </c:pt>
                <c:pt idx="4">
                  <c:v>Loan Repayment</c:v>
                </c:pt>
                <c:pt idx="5">
                  <c:v>Salary Advance Recovery</c:v>
                </c:pt>
              </c:strCache>
            </c:strRef>
          </c:cat>
          <c:val>
            <c:numRef>
              <c:f>Dashboard!$B$14:$B$19</c:f>
              <c:numCache>
                <c:formatCode>#,##0.00</c:formatCode>
                <c:ptCount val="6"/>
                <c:pt idx="0">
                  <c:v>1319</c:v>
                </c:pt>
                <c:pt idx="1">
                  <c:v>196</c:v>
                </c:pt>
                <c:pt idx="2">
                  <c:v>67.099759615384613</c:v>
                </c:pt>
                <c:pt idx="3">
                  <c:v>417</c:v>
                </c:pt>
                <c:pt idx="4">
                  <c:v>150</c:v>
                </c:pt>
                <c:pt idx="5">
                  <c:v>0</c:v>
                </c:pt>
              </c:numCache>
            </c:numRef>
          </c:val>
          <c:extLst>
            <c:ext xmlns:c16="http://schemas.microsoft.com/office/drawing/2014/chart" uri="{C3380CC4-5D6E-409C-BE32-E72D297353CC}">
              <c16:uniqueId val="{0000000C-775E-4074-AE91-C91D521256E8}"/>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Employee Count by Department</a:t>
            </a:r>
          </a:p>
        </c:rich>
      </c:tx>
      <c:overlay val="0"/>
      <c:spPr>
        <a:noFill/>
        <a:ln w="0">
          <a:noFill/>
        </a:ln>
      </c:spPr>
    </c:title>
    <c:autoTitleDeleted val="0"/>
    <c:plotArea>
      <c:layout/>
      <c:barChart>
        <c:barDir val="col"/>
        <c:grouping val="clustered"/>
        <c:varyColors val="0"/>
        <c:ser>
          <c:idx val="0"/>
          <c:order val="0"/>
          <c:tx>
            <c:strRef>
              <c:f>'Payroll Summary'!$B$4</c:f>
              <c:strCache>
                <c:ptCount val="1"/>
                <c:pt idx="0">
                  <c:v>Employee Count</c:v>
                </c:pt>
              </c:strCache>
            </c:strRef>
          </c:tx>
          <c:spPr>
            <a:solidFill>
              <a:srgbClr val="4F81BD"/>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'Payroll Summary'!$A$5:$A$9</c:f>
              <c:strCache>
                <c:ptCount val="5"/>
                <c:pt idx="0">
                  <c:v>Sales</c:v>
                </c:pt>
                <c:pt idx="1">
                  <c:v>Operations</c:v>
                </c:pt>
                <c:pt idx="2">
                  <c:v>Finance</c:v>
                </c:pt>
                <c:pt idx="3">
                  <c:v>IT &amp; Engineering</c:v>
                </c:pt>
                <c:pt idx="4">
                  <c:v>Human Resources</c:v>
                </c:pt>
              </c:strCache>
            </c:strRef>
          </c:cat>
          <c:val>
            <c:numRef>
              <c:f>'Payroll Summary'!$B$5:$B$9</c:f>
              <c:numCache>
                <c:formatCode>0</c:formatCode>
                <c:ptCount val="5"/>
                <c:pt idx="0">
                  <c:v>2</c:v>
                </c:pt>
                <c:pt idx="1">
                  <c:v>3</c:v>
                </c:pt>
                <c:pt idx="2">
                  <c:v>2</c:v>
                </c:pt>
                <c:pt idx="3">
                  <c:v>2</c:v>
                </c:pt>
                <c:pt idx="4">
                  <c:v>1</c:v>
                </c:pt>
              </c:numCache>
            </c:numRef>
          </c:val>
          <c:extLst>
            <c:ext xmlns:c16="http://schemas.microsoft.com/office/drawing/2014/chart" uri="{C3380CC4-5D6E-409C-BE32-E72D297353CC}">
              <c16:uniqueId val="{00000000-5622-44F1-8F94-3AE0F3F5AE07}"/>
            </c:ext>
          </c:extLst>
        </c:ser>
        <c:dLbls>
          <c:showLegendKey val="0"/>
          <c:showVal val="0"/>
          <c:showCatName val="0"/>
          <c:showSerName val="0"/>
          <c:showPercent val="0"/>
          <c:showBubbleSize val="0"/>
        </c:dLbls>
        <c:gapWidth val="150"/>
        <c:axId val="58584182"/>
        <c:axId val="89223074"/>
      </c:barChart>
      <c:catAx>
        <c:axId val="5858418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9223074"/>
        <c:crosses val="autoZero"/>
        <c:auto val="1"/>
        <c:lblAlgn val="ctr"/>
        <c:lblOffset val="100"/>
        <c:noMultiLvlLbl val="0"/>
      </c:catAx>
      <c:valAx>
        <c:axId val="89223074"/>
        <c:scaling>
          <c:orientation val="minMax"/>
        </c:scaling>
        <c:delete val="0"/>
        <c:axPos val="l"/>
        <c:majorGridlines>
          <c:spPr>
            <a:ln w="9360">
              <a:solidFill>
                <a:srgbClr val="878787"/>
              </a:solidFill>
              <a:round/>
            </a:ln>
          </c:spPr>
        </c:majorGridlines>
        <c:numFmt formatCode="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5858418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4</xdr:col>
      <xdr:colOff>825840</xdr:colOff>
      <xdr:row>36</xdr:row>
      <xdr:rowOff>22320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21</xdr:row>
      <xdr:rowOff>0</xdr:rowOff>
    </xdr:from>
    <xdr:to>
      <xdr:col>10</xdr:col>
      <xdr:colOff>936360</xdr:colOff>
      <xdr:row>36</xdr:row>
      <xdr:rowOff>22320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38</xdr:row>
      <xdr:rowOff>0</xdr:rowOff>
    </xdr:from>
    <xdr:to>
      <xdr:col>4</xdr:col>
      <xdr:colOff>825840</xdr:colOff>
      <xdr:row>53</xdr:row>
      <xdr:rowOff>22320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blEmployees" displayName="tblEmployees" ref="A3:S13" totalsRowShown="0">
  <autoFilter ref="A3:S13" xr:uid="{00000000-0009-0000-0100-000005000000}"/>
  <tableColumns count="19">
    <tableColumn id="1" xr3:uid="{00000000-0010-0000-0000-000001000000}" name="Employee ID"/>
    <tableColumn id="2" xr3:uid="{00000000-0010-0000-0000-000002000000}" name="Employee Name"/>
    <tableColumn id="3" xr3:uid="{00000000-0010-0000-0000-000003000000}" name="First Name"/>
    <tableColumn id="4" xr3:uid="{00000000-0010-0000-0000-000004000000}" name="Last Name"/>
    <tableColumn id="5" xr3:uid="{00000000-0010-0000-0000-000005000000}" name="Department"/>
    <tableColumn id="6" xr3:uid="{00000000-0010-0000-0000-000006000000}" name="Job Title"/>
    <tableColumn id="7" xr3:uid="{00000000-0010-0000-0000-000007000000}" name="Location"/>
    <tableColumn id="8" xr3:uid="{00000000-0010-0000-0000-000008000000}" name="Manager"/>
    <tableColumn id="9" xr3:uid="{00000000-0010-0000-0000-000009000000}" name="Employment Type"/>
    <tableColumn id="10" xr3:uid="{00000000-0010-0000-0000-00000A000000}" name="Employment Status"/>
    <tableColumn id="11" xr3:uid="{00000000-0010-0000-0000-00000B000000}" name="Date Joined"/>
    <tableColumn id="12" xr3:uid="{00000000-0010-0000-0000-00000C000000}" name="Date Left"/>
    <tableColumn id="13" xr3:uid="{00000000-0010-0000-0000-00000D000000}" name="Monthly Basic Salary"/>
    <tableColumn id="14" xr3:uid="{00000000-0010-0000-0000-00000E000000}" name="Standard Hours Per Day"/>
    <tableColumn id="15" xr3:uid="{00000000-0010-0000-0000-00000F000000}" name="Standard Hours Per Week"/>
    <tableColumn id="16" xr3:uid="{00000000-0010-0000-0000-000010000000}" name="Overtime Eligible?"/>
    <tableColumn id="17" xr3:uid="{00000000-0010-0000-0000-000011000000}" name="Default Shift"/>
    <tableColumn id="18" xr3:uid="{00000000-0010-0000-0000-000012000000}" name="Notes"/>
    <tableColumn id="19" xr3:uid="{00000000-0010-0000-0000-000013000000}" name="Duplicate ID?"/>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Attendance" displayName="tblAttendance" ref="A3:V31" totalsRowShown="0">
  <autoFilter ref="A3:V31" xr:uid="{00000000-0009-0000-0100-000002000000}"/>
  <tableColumns count="22">
    <tableColumn id="1" xr3:uid="{00000000-0010-0000-0100-000001000000}" name="Date"/>
    <tableColumn id="2" xr3:uid="{00000000-0010-0000-0100-000002000000}" name="Employee ID"/>
    <tableColumn id="3" xr3:uid="{00000000-0010-0000-0100-000003000000}" name="Employee Name"/>
    <tableColumn id="4" xr3:uid="{00000000-0010-0000-0100-000004000000}" name="Department"/>
    <tableColumn id="5" xr3:uid="{00000000-0010-0000-0100-000005000000}" name="Shift"/>
    <tableColumn id="6" xr3:uid="{00000000-0010-0000-0100-000006000000}" name="Scheduled Start"/>
    <tableColumn id="7" xr3:uid="{00000000-0010-0000-0100-000007000000}" name="Scheduled End"/>
    <tableColumn id="8" xr3:uid="{00000000-0010-0000-0100-000008000000}" name="Clock In"/>
    <tableColumn id="9" xr3:uid="{00000000-0010-0000-0100-000009000000}" name="Clock Out"/>
    <tableColumn id="10" xr3:uid="{00000000-0010-0000-0100-00000A000000}" name="Break Start"/>
    <tableColumn id="11" xr3:uid="{00000000-0010-0000-0100-00000B000000}" name="Break End"/>
    <tableColumn id="12" xr3:uid="{00000000-0010-0000-0100-00000C000000}" name="Break Hours"/>
    <tableColumn id="13" xr3:uid="{00000000-0010-0000-0100-00000D000000}" name="Total Hours"/>
    <tableColumn id="14" xr3:uid="{00000000-0010-0000-0100-00000E000000}" name="Regular Hours"/>
    <tableColumn id="15" xr3:uid="{00000000-0010-0000-0100-00000F000000}" name="Overtime Hours"/>
    <tableColumn id="16" xr3:uid="{00000000-0010-0000-0100-000010000000}" name="Weekend Hours"/>
    <tableColumn id="17" xr3:uid="{00000000-0010-0000-0100-000011000000}" name="Public Holiday Hours"/>
    <tableColumn id="18" xr3:uid="{00000000-0010-0000-0100-000012000000}" name="Late Minutes"/>
    <tableColumn id="19" xr3:uid="{00000000-0010-0000-0100-000013000000}" name="Early Departure Minutes"/>
    <tableColumn id="20" xr3:uid="{00000000-0010-0000-0100-000014000000}" name="Attendance Status"/>
    <tableColumn id="21" xr3:uid="{00000000-0010-0000-0100-000015000000}" name="Approval Status"/>
    <tableColumn id="22" xr3:uid="{00000000-0010-0000-0100-000016000000}" name="Note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blLeave" displayName="tblLeave" ref="A3:L7" totalsRowShown="0">
  <autoFilter ref="A3:L7" xr:uid="{00000000-0009-0000-0100-000007000000}"/>
  <tableColumns count="12">
    <tableColumn id="1" xr3:uid="{00000000-0010-0000-0200-000001000000}" name="Leave ID"/>
    <tableColumn id="2" xr3:uid="{00000000-0010-0000-0200-000002000000}" name="Employee ID"/>
    <tableColumn id="3" xr3:uid="{00000000-0010-0000-0200-000003000000}" name="Employee Name"/>
    <tableColumn id="4" xr3:uid="{00000000-0010-0000-0200-000004000000}" name="Department"/>
    <tableColumn id="5" xr3:uid="{00000000-0010-0000-0200-000005000000}" name="Leave Type"/>
    <tableColumn id="6" xr3:uid="{00000000-0010-0000-0200-000006000000}" name="Start Date"/>
    <tableColumn id="7" xr3:uid="{00000000-0010-0000-0200-000007000000}" name="End Date"/>
    <tableColumn id="8" xr3:uid="{00000000-0010-0000-0200-000008000000}" name="Number of Days"/>
    <tableColumn id="9" xr3:uid="{00000000-0010-0000-0200-000009000000}" name="Paid/Unpaid"/>
    <tableColumn id="10" xr3:uid="{00000000-0010-0000-0200-00000A000000}" name="Approval Status"/>
    <tableColumn id="11" xr3:uid="{00000000-0010-0000-0200-00000B000000}" name="Approved By"/>
    <tableColumn id="12" xr3:uid="{00000000-0010-0000-0200-00000C000000}" name="Note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blPayroll" displayName="tblPayroll" ref="A4:AB14" totalsRowShown="0">
  <autoFilter ref="A4:AB14" xr:uid="{00000000-0009-0000-0100-000008000000}"/>
  <tableColumns count="28">
    <tableColumn id="1" xr3:uid="{00000000-0010-0000-0300-000001000000}" name="Employee ID"/>
    <tableColumn id="2" xr3:uid="{00000000-0010-0000-0300-000002000000}" name="Employee Name"/>
    <tableColumn id="3" xr3:uid="{00000000-0010-0000-0300-000003000000}" name="Department"/>
    <tableColumn id="4" xr3:uid="{00000000-0010-0000-0300-000004000000}" name="Job Title"/>
    <tableColumn id="5" xr3:uid="{00000000-0010-0000-0300-000005000000}" name="Monthly Basic Salary"/>
    <tableColumn id="6" xr3:uid="{00000000-0010-0000-0300-000006000000}" name="Hourly Rate"/>
    <tableColumn id="7" xr3:uid="{00000000-0010-0000-0300-000007000000}" name="Regular Hours"/>
    <tableColumn id="8" xr3:uid="{00000000-0010-0000-0300-000008000000}" name="Overtime Hours"/>
    <tableColumn id="9" xr3:uid="{00000000-0010-0000-0300-000009000000}" name="Weekend Hours"/>
    <tableColumn id="10" xr3:uid="{00000000-0010-0000-0300-00000A000000}" name="Holiday Hours"/>
    <tableColumn id="11" xr3:uid="{00000000-0010-0000-0300-00000B000000}" name="Overtime Pay"/>
    <tableColumn id="12" xr3:uid="{00000000-0010-0000-0300-00000C000000}" name="Weekend Pay"/>
    <tableColumn id="13" xr3:uid="{00000000-0010-0000-0300-00000D000000}" name="Holiday Pay"/>
    <tableColumn id="14" xr3:uid="{00000000-0010-0000-0300-00000E000000}" name="Allowances"/>
    <tableColumn id="15" xr3:uid="{00000000-0010-0000-0300-00000F000000}" name="Bonuses"/>
    <tableColumn id="16" xr3:uid="{00000000-0010-0000-0300-000010000000}" name="Other Earnings"/>
    <tableColumn id="17" xr3:uid="{00000000-0010-0000-0300-000011000000}" name="Gross Earnings"/>
    <tableColumn id="18" xr3:uid="{00000000-0010-0000-0300-000012000000}" name="Unpaid Leave Days"/>
    <tableColumn id="19" xr3:uid="{00000000-0010-0000-0300-000013000000}" name="Unpaid Leave Deduction"/>
    <tableColumn id="20" xr3:uid="{00000000-0010-0000-0300-000014000000}" name="Social Insurance"/>
    <tableColumn id="21" xr3:uid="{00000000-0010-0000-0300-000015000000}" name="Medical Insurance"/>
    <tableColumn id="22" xr3:uid="{00000000-0010-0000-0300-000016000000}" name="Employee Welfare Fund"/>
    <tableColumn id="23" xr3:uid="{00000000-0010-0000-0300-000017000000}" name="Pension"/>
    <tableColumn id="24" xr3:uid="{00000000-0010-0000-0300-000018000000}" name="Loan Repayment"/>
    <tableColumn id="25" xr3:uid="{00000000-0010-0000-0300-000019000000}" name="Salary Advance Recovery"/>
    <tableColumn id="26" xr3:uid="{00000000-0010-0000-0300-00001A000000}" name="Total Deductions"/>
    <tableColumn id="27" xr3:uid="{00000000-0010-0000-0300-00001B000000}" name="Net Pay"/>
    <tableColumn id="28" xr3:uid="{00000000-0010-0000-0300-00001C000000}" name="Payroll Statu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blPayrollRegister" displayName="tblPayrollRegister" ref="A4:X14" totalsRowShown="0">
  <autoFilter ref="A4:X14" xr:uid="{00000000-0009-0000-0100-000009000000}"/>
  <tableColumns count="24">
    <tableColumn id="1" xr3:uid="{00000000-0010-0000-0400-000001000000}" name="Employee ID"/>
    <tableColumn id="2" xr3:uid="{00000000-0010-0000-0400-000002000000}" name="Employee Name"/>
    <tableColumn id="3" xr3:uid="{00000000-0010-0000-0400-000003000000}" name="Department"/>
    <tableColumn id="4" xr3:uid="{00000000-0010-0000-0400-000004000000}" name="Job Title"/>
    <tableColumn id="5" xr3:uid="{00000000-0010-0000-0400-000005000000}" name="Monthly Basic Salary"/>
    <tableColumn id="6" xr3:uid="{00000000-0010-0000-0400-000006000000}" name="Regular Hours"/>
    <tableColumn id="7" xr3:uid="{00000000-0010-0000-0400-000007000000}" name="Overtime Hours"/>
    <tableColumn id="8" xr3:uid="{00000000-0010-0000-0400-000008000000}" name="Overtime Pay"/>
    <tableColumn id="9" xr3:uid="{00000000-0010-0000-0400-000009000000}" name="Weekend Pay"/>
    <tableColumn id="10" xr3:uid="{00000000-0010-0000-0400-00000A000000}" name="Holiday Pay"/>
    <tableColumn id="11" xr3:uid="{00000000-0010-0000-0400-00000B000000}" name="Allowances"/>
    <tableColumn id="12" xr3:uid="{00000000-0010-0000-0400-00000C000000}" name="Bonuses"/>
    <tableColumn id="13" xr3:uid="{00000000-0010-0000-0400-00000D000000}" name="Other Earnings"/>
    <tableColumn id="14" xr3:uid="{00000000-0010-0000-0400-00000E000000}" name="Gross Earnings"/>
    <tableColumn id="15" xr3:uid="{00000000-0010-0000-0400-00000F000000}" name="Social Insurance"/>
    <tableColumn id="16" xr3:uid="{00000000-0010-0000-0400-000010000000}" name="Medical Insurance"/>
    <tableColumn id="17" xr3:uid="{00000000-0010-0000-0400-000011000000}" name="Employee Welfare Fund"/>
    <tableColumn id="18" xr3:uid="{00000000-0010-0000-0400-000012000000}" name="Pension"/>
    <tableColumn id="19" xr3:uid="{00000000-0010-0000-0400-000013000000}" name="Loan Repayment"/>
    <tableColumn id="20" xr3:uid="{00000000-0010-0000-0400-000014000000}" name="Salary Advance Recovery"/>
    <tableColumn id="21" xr3:uid="{00000000-0010-0000-0400-000015000000}" name="Total Deductions"/>
    <tableColumn id="22" xr3:uid="{00000000-0010-0000-0400-000016000000}" name="Unpaid Leave Deduction"/>
    <tableColumn id="23" xr3:uid="{00000000-0010-0000-0400-000017000000}" name="Net Pay"/>
    <tableColumn id="24" xr3:uid="{00000000-0010-0000-0400-000018000000}" name="Payroll Statu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blTimesheetSummary" displayName="tblTimesheetSummary" ref="A4:L14" totalsRowShown="0">
  <autoFilter ref="A4:L14" xr:uid="{00000000-0009-0000-0100-00000A000000}"/>
  <tableColumns count="12">
    <tableColumn id="1" xr3:uid="{00000000-0010-0000-0500-000001000000}" name="Employee ID"/>
    <tableColumn id="2" xr3:uid="{00000000-0010-0000-0500-000002000000}" name="Employee Name"/>
    <tableColumn id="3" xr3:uid="{00000000-0010-0000-0500-000003000000}" name="Department"/>
    <tableColumn id="4" xr3:uid="{00000000-0010-0000-0500-000004000000}" name="Days Present"/>
    <tableColumn id="5" xr3:uid="{00000000-0010-0000-0500-000005000000}" name="Leave Days"/>
    <tableColumn id="6" xr3:uid="{00000000-0010-0000-0500-000006000000}" name="Regular Hours"/>
    <tableColumn id="7" xr3:uid="{00000000-0010-0000-0500-000007000000}" name="Overtime Hours"/>
    <tableColumn id="8" xr3:uid="{00000000-0010-0000-0500-000008000000}" name="Weekend Hours"/>
    <tableColumn id="9" xr3:uid="{00000000-0010-0000-0500-000009000000}" name="Holiday Hours"/>
    <tableColumn id="10" xr3:uid="{00000000-0010-0000-0500-00000A000000}" name="Late Minutes"/>
    <tableColumn id="11" xr3:uid="{00000000-0010-0000-0500-00000B000000}" name="Early Departure Minutes"/>
    <tableColumn id="12" xr3:uid="{00000000-0010-0000-0500-00000C000000}" name="Attendance Exceptions"/>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blDedAssign" displayName="tblDedAssign" ref="A16:N27" totalsRowShown="0">
  <autoFilter ref="A16:N27" xr:uid="{00000000-0009-0000-0100-000003000000}"/>
  <tableColumns count="14">
    <tableColumn id="1" xr3:uid="{00000000-0010-0000-0600-000001000000}" name="Employee ID"/>
    <tableColumn id="2" xr3:uid="{00000000-0010-0000-0600-000002000000}" name="Deduction ID"/>
    <tableColumn id="3" xr3:uid="{00000000-0010-0000-0600-000003000000}" name="Effective From"/>
    <tableColumn id="4" xr3:uid="{00000000-0010-0000-0600-000004000000}" name="Effective To"/>
    <tableColumn id="5" xr3:uid="{00000000-0010-0000-0600-000005000000}" name="Percentage Override"/>
    <tableColumn id="6" xr3:uid="{00000000-0010-0000-0600-000006000000}" name="Fixed Amount Override"/>
    <tableColumn id="7" xr3:uid="{00000000-0010-0000-0600-000007000000}" name="Active?"/>
    <tableColumn id="8" xr3:uid="{00000000-0010-0000-0600-000008000000}" name="Notes"/>
    <tableColumn id="9" xr3:uid="{00000000-0010-0000-0600-000009000000}" name="Deduction Type (auto)"/>
    <tableColumn id="10" xr3:uid="{00000000-0010-0000-0600-00000A000000}" name="Calculation Base (auto)"/>
    <tableColumn id="11" xr3:uid="{00000000-0010-0000-0600-00000B000000}" name="Effective %"/>
    <tableColumn id="12" xr3:uid="{00000000-0010-0000-0600-00000C000000}" name="Effective Fixed"/>
    <tableColumn id="13" xr3:uid="{00000000-0010-0000-0600-00000D000000}" name="Base Amount"/>
    <tableColumn id="14" xr3:uid="{00000000-0010-0000-0600-00000E000000}" name="Deduction Amount"/>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blDeductions" displayName="tblDeductions" ref="A6:H12" totalsRowShown="0">
  <autoFilter ref="A6:H12" xr:uid="{00000000-0009-0000-0100-000004000000}"/>
  <tableColumns count="8">
    <tableColumn id="1" xr3:uid="{00000000-0010-0000-0700-000001000000}" name="Deduction ID"/>
    <tableColumn id="2" xr3:uid="{00000000-0010-0000-0700-000002000000}" name="Deduction Name"/>
    <tableColumn id="3" xr3:uid="{00000000-0010-0000-0700-000003000000}" name="Deduction Type"/>
    <tableColumn id="4" xr3:uid="{00000000-0010-0000-0700-000004000000}" name="Percentage"/>
    <tableColumn id="5" xr3:uid="{00000000-0010-0000-0700-000005000000}" name="Fixed Amount"/>
    <tableColumn id="6" xr3:uid="{00000000-0010-0000-0700-000006000000}" name="Calculation Base"/>
    <tableColumn id="7" xr3:uid="{00000000-0010-0000-0700-000007000000}" name="Active?"/>
    <tableColumn id="8" xr3:uid="{00000000-0010-0000-0700-000008000000}" name="Descriptio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tblAllowBonus" displayName="tblAllowBonus" ref="A3:I12" totalsRowShown="0">
  <autoFilter ref="A3:I12" xr:uid="{00000000-0009-0000-0100-000001000000}"/>
  <tableColumns count="9">
    <tableColumn id="1" xr3:uid="{00000000-0010-0000-0800-000001000000}" name="Employee ID"/>
    <tableColumn id="2" xr3:uid="{00000000-0010-0000-0800-000002000000}" name="Pay Period"/>
    <tableColumn id="3" xr3:uid="{00000000-0010-0000-0800-000003000000}" name="Category"/>
    <tableColumn id="4" xr3:uid="{00000000-0010-0000-0800-000004000000}" name="Type"/>
    <tableColumn id="5" xr3:uid="{00000000-0010-0000-0800-000005000000}" name="Description"/>
    <tableColumn id="6" xr3:uid="{00000000-0010-0000-0800-000006000000}" name="Amount"/>
    <tableColumn id="7" xr3:uid="{00000000-0010-0000-0800-000007000000}" name="Taxable?"/>
    <tableColumn id="8" xr3:uid="{00000000-0010-0000-0800-000008000000}" name="Approved?"/>
    <tableColumn id="9" xr3:uid="{00000000-0010-0000-0800-000009000000}" name="Notes"/>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blHolidays" displayName="tblHolidays" ref="A3:E5" totalsRowShown="0">
  <autoFilter ref="A3:E5" xr:uid="{00000000-0009-0000-0100-000006000000}"/>
  <tableColumns count="5">
    <tableColumn id="1" xr3:uid="{00000000-0010-0000-0900-000001000000}" name="Holiday Date"/>
    <tableColumn id="2" xr3:uid="{00000000-0010-0000-0900-000002000000}" name="Holiday Name"/>
    <tableColumn id="3" xr3:uid="{00000000-0010-0000-0900-000003000000}" name="Holiday Type"/>
    <tableColumn id="4" xr3:uid="{00000000-0010-0000-0900-000004000000}" name="Paid?"/>
    <tableColumn id="5" xr3:uid="{00000000-0010-0000-0900-000005000000}" name="Note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payroll@mohammed.example"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pageSetUpPr fitToPage="1"/>
  </sheetPr>
  <dimension ref="A1:L19"/>
  <sheetViews>
    <sheetView showGridLines="0" tabSelected="1" zoomScaleNormal="100" workbookViewId="0">
      <selection sqref="A1:L1"/>
    </sheetView>
  </sheetViews>
  <sheetFormatPr defaultColWidth="8.7109375" defaultRowHeight="15" x14ac:dyDescent="0.25"/>
  <cols>
    <col min="1" max="1" width="22" customWidth="1"/>
    <col min="2" max="12" width="16" customWidth="1"/>
  </cols>
  <sheetData>
    <row r="1" spans="1:12" ht="27.75" customHeight="1" x14ac:dyDescent="0.25">
      <c r="A1" s="45" t="s">
        <v>0</v>
      </c>
      <c r="B1" s="45"/>
      <c r="C1" s="45"/>
      <c r="D1" s="45"/>
      <c r="E1" s="45"/>
      <c r="F1" s="45"/>
      <c r="G1" s="45"/>
      <c r="H1" s="45"/>
      <c r="I1" s="45"/>
      <c r="J1" s="45"/>
      <c r="K1" s="45"/>
      <c r="L1" s="45"/>
    </row>
    <row r="2" spans="1:12" x14ac:dyDescent="0.25">
      <c r="A2" s="4" t="s">
        <v>1</v>
      </c>
      <c r="B2" s="5" t="str">
        <f>TEXT(PeriodStart,"mmmm yyyy")</f>
        <v>September 2026</v>
      </c>
    </row>
    <row r="4" spans="1:12" ht="25.5" customHeight="1" x14ac:dyDescent="0.25">
      <c r="A4" s="44" t="s">
        <v>2</v>
      </c>
      <c r="B4" s="44"/>
      <c r="C4" s="44" t="s">
        <v>3</v>
      </c>
      <c r="D4" s="44"/>
      <c r="E4" s="44" t="s">
        <v>4</v>
      </c>
      <c r="F4" s="44"/>
      <c r="G4" s="44" t="s">
        <v>5</v>
      </c>
      <c r="H4" s="44"/>
      <c r="I4" s="44" t="s">
        <v>6</v>
      </c>
      <c r="J4" s="44"/>
    </row>
    <row r="5" spans="1:12" ht="25.5" customHeight="1" x14ac:dyDescent="0.25">
      <c r="A5" s="42">
        <f>COUNTIF(tblEmployees[Employee ID],"&lt;&gt;")</f>
        <v>10</v>
      </c>
      <c r="B5" s="42"/>
      <c r="C5" s="42">
        <f>COUNTIF(tblEmployees[Employment Status],"Active")</f>
        <v>10</v>
      </c>
      <c r="D5" s="42"/>
      <c r="E5" s="41">
        <f>SUM(tblPayroll[Gross Earnings])</f>
        <v>55363.822115384617</v>
      </c>
      <c r="F5" s="41"/>
      <c r="G5" s="41">
        <f>SUM(tblPayroll[Total Deductions])+SUM(tblPayroll[Unpaid Leave Deduction])</f>
        <v>2622.1766826923076</v>
      </c>
      <c r="H5" s="41"/>
      <c r="I5" s="41">
        <f>SUM(tblPayroll[Net Pay])</f>
        <v>52741.645432692312</v>
      </c>
      <c r="J5" s="41"/>
    </row>
    <row r="7" spans="1:12" ht="25.5" customHeight="1" x14ac:dyDescent="0.25">
      <c r="A7" s="44" t="s">
        <v>7</v>
      </c>
      <c r="B7" s="44"/>
      <c r="C7" s="44" t="s">
        <v>8</v>
      </c>
      <c r="D7" s="44"/>
      <c r="E7" s="44" t="s">
        <v>9</v>
      </c>
      <c r="F7" s="44"/>
      <c r="G7" s="44" t="s">
        <v>10</v>
      </c>
      <c r="H7" s="44"/>
      <c r="I7" s="44" t="s">
        <v>11</v>
      </c>
      <c r="J7" s="44"/>
    </row>
    <row r="8" spans="1:12" ht="25.5" customHeight="1" x14ac:dyDescent="0.25">
      <c r="A8" s="40">
        <f>SUM(tblPayroll[Overtime Hours])+SUM(tblPayroll[Weekend Hours])+SUM(tblPayroll[Holiday Hours])</f>
        <v>14.133333333333352</v>
      </c>
      <c r="B8" s="40"/>
      <c r="C8" s="41">
        <f>SUM(tblPayroll[Overtime Pay])+SUM(tblPayroll[Weekend Pay])+SUM(tblPayroll[Holiday Pay])</f>
        <v>563.82211538461604</v>
      </c>
      <c r="D8" s="41"/>
      <c r="E8" s="42">
        <f>SUMIFS(tblLeave[Number of Days],tblLeave[Approval Status],"Approved",tblLeave[Start Date],"&gt;="&amp;PeriodStart,tblLeave[End Date],"&lt;="&amp;PeriodEnd)</f>
        <v>6</v>
      </c>
      <c r="F8" s="42"/>
      <c r="G8" s="42">
        <f>COUNTIF(tblAttendance[Attendance Status],"Missing Clock In")+COUNTIF(tblAttendance[Attendance Status],"Missing Clock Out")+COUNTIF(tblAttendance[Attendance Status],"Late Arrival")+COUNTIF(tblAttendance[Attendance Status],"Early Departure")</f>
        <v>2</v>
      </c>
      <c r="H8" s="42"/>
      <c r="I8" s="43" t="str">
        <f>'Checks &amp; Audit'!B3</f>
        <v>⚠ REVIEW REQUIRED</v>
      </c>
      <c r="J8" s="43"/>
    </row>
    <row r="12" spans="1:12" x14ac:dyDescent="0.25">
      <c r="A12" s="39" t="s">
        <v>12</v>
      </c>
      <c r="B12" s="39"/>
    </row>
    <row r="13" spans="1:12" x14ac:dyDescent="0.25">
      <c r="A13" s="6" t="s">
        <v>13</v>
      </c>
      <c r="B13" s="6" t="s">
        <v>14</v>
      </c>
    </row>
    <row r="14" spans="1:12" x14ac:dyDescent="0.25">
      <c r="A14" s="3" t="s">
        <v>15</v>
      </c>
      <c r="B14" s="7">
        <f>SUM(tblPayroll[Social Insurance])</f>
        <v>1319</v>
      </c>
    </row>
    <row r="15" spans="1:12" x14ac:dyDescent="0.25">
      <c r="A15" s="3" t="s">
        <v>16</v>
      </c>
      <c r="B15" s="7">
        <f>SUM(tblPayroll[Medical Insurance])</f>
        <v>196</v>
      </c>
    </row>
    <row r="16" spans="1:12" x14ac:dyDescent="0.25">
      <c r="A16" s="3" t="s">
        <v>17</v>
      </c>
      <c r="B16" s="7">
        <f>SUM(tblPayroll[Employee Welfare Fund])</f>
        <v>67.099759615384613</v>
      </c>
    </row>
    <row r="17" spans="1:2" x14ac:dyDescent="0.25">
      <c r="A17" s="3" t="s">
        <v>18</v>
      </c>
      <c r="B17" s="7">
        <f>SUM(tblPayroll[Pension])</f>
        <v>417</v>
      </c>
    </row>
    <row r="18" spans="1:2" x14ac:dyDescent="0.25">
      <c r="A18" s="3" t="s">
        <v>19</v>
      </c>
      <c r="B18" s="7">
        <f>SUM(tblPayroll[Loan Repayment])</f>
        <v>150</v>
      </c>
    </row>
    <row r="19" spans="1:2" x14ac:dyDescent="0.25">
      <c r="A19" s="3" t="s">
        <v>20</v>
      </c>
      <c r="B19" s="7">
        <f>SUM(tblPayroll[Salary Advance Recovery])</f>
        <v>0</v>
      </c>
    </row>
  </sheetData>
  <mergeCells count="22">
    <mergeCell ref="A1:L1"/>
    <mergeCell ref="A4:B4"/>
    <mergeCell ref="C4:D4"/>
    <mergeCell ref="E4:F4"/>
    <mergeCell ref="G4:H4"/>
    <mergeCell ref="I4:J4"/>
    <mergeCell ref="A5:B5"/>
    <mergeCell ref="C5:D5"/>
    <mergeCell ref="E5:F5"/>
    <mergeCell ref="G5:H5"/>
    <mergeCell ref="I5:J5"/>
    <mergeCell ref="I8:J8"/>
    <mergeCell ref="A7:B7"/>
    <mergeCell ref="C7:D7"/>
    <mergeCell ref="E7:F7"/>
    <mergeCell ref="G7:H7"/>
    <mergeCell ref="I7:J7"/>
    <mergeCell ref="A12:B12"/>
    <mergeCell ref="A8:B8"/>
    <mergeCell ref="C8:D8"/>
    <mergeCell ref="E8:F8"/>
    <mergeCell ref="G8:H8"/>
  </mergeCells>
  <pageMargins left="0.4" right="0.4" top="0.5" bottom="0.5"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A1:D39"/>
  <sheetViews>
    <sheetView showGridLines="0" zoomScaleNormal="100" workbookViewId="0">
      <selection sqref="A1:D1"/>
    </sheetView>
  </sheetViews>
  <sheetFormatPr defaultColWidth="8.7109375" defaultRowHeight="15" x14ac:dyDescent="0.25"/>
  <cols>
    <col min="1" max="1" width="22" customWidth="1"/>
    <col min="2" max="4" width="26" customWidth="1"/>
  </cols>
  <sheetData>
    <row r="1" spans="1:4" ht="27.75" customHeight="1" x14ac:dyDescent="0.25">
      <c r="A1" s="45" t="s">
        <v>21</v>
      </c>
      <c r="B1" s="45"/>
      <c r="C1" s="45"/>
      <c r="D1" s="45"/>
    </row>
    <row r="3" spans="1:4" ht="48" customHeight="1" x14ac:dyDescent="0.25">
      <c r="A3" s="48" t="s">
        <v>22</v>
      </c>
      <c r="B3" s="48"/>
      <c r="C3" s="48"/>
      <c r="D3" s="48"/>
    </row>
    <row r="5" spans="1:4" x14ac:dyDescent="0.25">
      <c r="A5" s="39" t="s">
        <v>23</v>
      </c>
      <c r="B5" s="39"/>
      <c r="C5" s="39"/>
      <c r="D5" s="39"/>
    </row>
    <row r="6" spans="1:4" x14ac:dyDescent="0.25">
      <c r="A6" s="8" t="s">
        <v>24</v>
      </c>
      <c r="B6" s="9" t="s">
        <v>25</v>
      </c>
    </row>
    <row r="7" spans="1:4" x14ac:dyDescent="0.25">
      <c r="A7" s="10" t="s">
        <v>24</v>
      </c>
      <c r="B7" s="9" t="s">
        <v>26</v>
      </c>
    </row>
    <row r="8" spans="1:4" x14ac:dyDescent="0.25">
      <c r="A8" s="11" t="s">
        <v>24</v>
      </c>
      <c r="B8" s="9" t="s">
        <v>27</v>
      </c>
    </row>
    <row r="9" spans="1:4" x14ac:dyDescent="0.25">
      <c r="A9" s="12" t="s">
        <v>24</v>
      </c>
      <c r="B9" s="9" t="s">
        <v>28</v>
      </c>
    </row>
    <row r="10" spans="1:4" x14ac:dyDescent="0.25">
      <c r="A10" s="13" t="s">
        <v>24</v>
      </c>
      <c r="B10" s="9" t="s">
        <v>29</v>
      </c>
    </row>
    <row r="13" spans="1:4" ht="33.75" customHeight="1" x14ac:dyDescent="0.25">
      <c r="A13" s="4" t="s">
        <v>30</v>
      </c>
      <c r="B13" s="47" t="s">
        <v>31</v>
      </c>
      <c r="C13" s="47"/>
      <c r="D13" s="47"/>
    </row>
    <row r="14" spans="1:4" ht="33.75" customHeight="1" x14ac:dyDescent="0.25">
      <c r="A14" s="4" t="s">
        <v>32</v>
      </c>
      <c r="B14" s="47" t="s">
        <v>33</v>
      </c>
      <c r="C14" s="47"/>
      <c r="D14" s="47"/>
    </row>
    <row r="15" spans="1:4" ht="33.75" customHeight="1" x14ac:dyDescent="0.25">
      <c r="A15" s="4" t="s">
        <v>34</v>
      </c>
      <c r="B15" s="47" t="s">
        <v>35</v>
      </c>
      <c r="C15" s="47"/>
      <c r="D15" s="47"/>
    </row>
    <row r="16" spans="1:4" ht="33.75" customHeight="1" x14ac:dyDescent="0.25">
      <c r="A16" s="4" t="s">
        <v>36</v>
      </c>
      <c r="B16" s="47" t="s">
        <v>37</v>
      </c>
      <c r="C16" s="47"/>
      <c r="D16" s="47"/>
    </row>
    <row r="17" spans="1:4" ht="33.75" customHeight="1" x14ac:dyDescent="0.25">
      <c r="A17" s="4" t="s">
        <v>38</v>
      </c>
      <c r="B17" s="47" t="s">
        <v>39</v>
      </c>
      <c r="C17" s="47"/>
      <c r="D17" s="47"/>
    </row>
    <row r="18" spans="1:4" ht="33.75" customHeight="1" x14ac:dyDescent="0.25">
      <c r="A18" s="4" t="s">
        <v>40</v>
      </c>
      <c r="B18" s="47" t="s">
        <v>41</v>
      </c>
      <c r="C18" s="47"/>
      <c r="D18" s="47"/>
    </row>
    <row r="19" spans="1:4" ht="33.75" customHeight="1" x14ac:dyDescent="0.25">
      <c r="A19" s="4" t="s">
        <v>42</v>
      </c>
      <c r="B19" s="47" t="s">
        <v>43</v>
      </c>
      <c r="C19" s="47"/>
      <c r="D19" s="47"/>
    </row>
    <row r="20" spans="1:4" ht="33.75" customHeight="1" x14ac:dyDescent="0.25">
      <c r="A20" s="4" t="s">
        <v>44</v>
      </c>
      <c r="B20" s="47" t="s">
        <v>45</v>
      </c>
      <c r="C20" s="47"/>
      <c r="D20" s="47"/>
    </row>
    <row r="21" spans="1:4" ht="33.75" customHeight="1" x14ac:dyDescent="0.25">
      <c r="A21" s="4" t="s">
        <v>46</v>
      </c>
      <c r="B21" s="47" t="s">
        <v>47</v>
      </c>
      <c r="C21" s="47"/>
      <c r="D21" s="47"/>
    </row>
    <row r="22" spans="1:4" ht="33.75" customHeight="1" x14ac:dyDescent="0.25">
      <c r="A22" s="4" t="s">
        <v>48</v>
      </c>
      <c r="B22" s="47" t="s">
        <v>49</v>
      </c>
      <c r="C22" s="47"/>
      <c r="D22" s="47"/>
    </row>
    <row r="23" spans="1:4" ht="33.75" customHeight="1" x14ac:dyDescent="0.25">
      <c r="A23" s="4" t="s">
        <v>50</v>
      </c>
      <c r="B23" s="47" t="s">
        <v>51</v>
      </c>
      <c r="C23" s="47"/>
      <c r="D23" s="47"/>
    </row>
    <row r="24" spans="1:4" ht="33.75" customHeight="1" x14ac:dyDescent="0.25">
      <c r="A24" s="4" t="s">
        <v>52</v>
      </c>
      <c r="B24" s="47" t="s">
        <v>53</v>
      </c>
      <c r="C24" s="47"/>
      <c r="D24" s="47"/>
    </row>
    <row r="25" spans="1:4" ht="33.75" customHeight="1" x14ac:dyDescent="0.25">
      <c r="A25" s="4" t="s">
        <v>54</v>
      </c>
      <c r="B25" s="47" t="s">
        <v>55</v>
      </c>
      <c r="C25" s="47"/>
      <c r="D25" s="47"/>
    </row>
    <row r="26" spans="1:4" ht="33.75" customHeight="1" x14ac:dyDescent="0.25">
      <c r="A26" s="4" t="s">
        <v>56</v>
      </c>
      <c r="B26" s="47" t="s">
        <v>57</v>
      </c>
      <c r="C26" s="47"/>
      <c r="D26" s="47"/>
    </row>
    <row r="27" spans="1:4" ht="33.75" customHeight="1" x14ac:dyDescent="0.25">
      <c r="A27" s="4" t="s">
        <v>58</v>
      </c>
      <c r="B27" s="47" t="s">
        <v>59</v>
      </c>
      <c r="C27" s="47"/>
      <c r="D27" s="47"/>
    </row>
    <row r="29" spans="1:4" x14ac:dyDescent="0.25">
      <c r="A29" s="39" t="s">
        <v>60</v>
      </c>
      <c r="B29" s="39"/>
      <c r="C29" s="39"/>
      <c r="D29" s="39"/>
    </row>
    <row r="30" spans="1:4" ht="48" customHeight="1" x14ac:dyDescent="0.25">
      <c r="A30" s="47" t="s">
        <v>61</v>
      </c>
      <c r="B30" s="47"/>
      <c r="C30" s="47"/>
      <c r="D30" s="47"/>
    </row>
    <row r="32" spans="1:4" x14ac:dyDescent="0.25">
      <c r="A32" s="39" t="s">
        <v>62</v>
      </c>
      <c r="B32" s="39"/>
      <c r="C32" s="39"/>
      <c r="D32" s="39"/>
    </row>
    <row r="33" spans="1:4" ht="48" customHeight="1" x14ac:dyDescent="0.25">
      <c r="A33" s="47" t="s">
        <v>63</v>
      </c>
      <c r="B33" s="47"/>
      <c r="C33" s="47"/>
      <c r="D33" s="47"/>
    </row>
    <row r="35" spans="1:4" x14ac:dyDescent="0.25">
      <c r="A35" s="39" t="s">
        <v>64</v>
      </c>
      <c r="B35" s="39"/>
      <c r="C35" s="39"/>
      <c r="D35" s="39"/>
    </row>
    <row r="36" spans="1:4" ht="19.5" customHeight="1" x14ac:dyDescent="0.25">
      <c r="A36" s="46" t="s">
        <v>65</v>
      </c>
      <c r="B36" s="46"/>
      <c r="C36" s="46"/>
      <c r="D36" s="46"/>
    </row>
    <row r="37" spans="1:4" ht="19.5" customHeight="1" x14ac:dyDescent="0.25">
      <c r="A37" s="46" t="s">
        <v>66</v>
      </c>
      <c r="B37" s="46"/>
      <c r="C37" s="46"/>
      <c r="D37" s="46"/>
    </row>
    <row r="38" spans="1:4" ht="19.5" customHeight="1" x14ac:dyDescent="0.25">
      <c r="A38" s="46" t="s">
        <v>67</v>
      </c>
      <c r="B38" s="46"/>
      <c r="C38" s="46"/>
      <c r="D38" s="46"/>
    </row>
    <row r="39" spans="1:4" ht="19.5" customHeight="1" x14ac:dyDescent="0.25">
      <c r="A39" s="46" t="s">
        <v>68</v>
      </c>
      <c r="B39" s="46"/>
      <c r="C39" s="46"/>
      <c r="D39" s="46"/>
    </row>
  </sheetData>
  <mergeCells count="27">
    <mergeCell ref="A1:D1"/>
    <mergeCell ref="A3:D3"/>
    <mergeCell ref="A5:D5"/>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A29:D29"/>
    <mergeCell ref="A30:D30"/>
    <mergeCell ref="A38:D38"/>
    <mergeCell ref="A39:D39"/>
    <mergeCell ref="A32:D32"/>
    <mergeCell ref="A33:D33"/>
    <mergeCell ref="A35:D35"/>
    <mergeCell ref="A36:D36"/>
    <mergeCell ref="A37:D37"/>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3864"/>
  </sheetPr>
  <dimension ref="A1:D44"/>
  <sheetViews>
    <sheetView showGridLines="0" zoomScaleNormal="100" workbookViewId="0">
      <pane ySplit="2" topLeftCell="A3" activePane="bottomLeft" state="frozen"/>
      <selection pane="bottomLeft" activeCell="B4" sqref="B4"/>
    </sheetView>
  </sheetViews>
  <sheetFormatPr defaultColWidth="8.7109375" defaultRowHeight="15" x14ac:dyDescent="0.25"/>
  <cols>
    <col min="1" max="1" width="34" customWidth="1"/>
    <col min="2" max="2" width="30.28515625" bestFit="1" customWidth="1"/>
    <col min="3" max="3" width="55" customWidth="1"/>
    <col min="4" max="4" width="3" customWidth="1"/>
  </cols>
  <sheetData>
    <row r="1" spans="1:4" ht="30" customHeight="1" x14ac:dyDescent="0.25">
      <c r="A1" s="45" t="s">
        <v>69</v>
      </c>
      <c r="B1" s="45"/>
      <c r="C1" s="45"/>
      <c r="D1" s="45"/>
    </row>
    <row r="3" spans="1:4" x14ac:dyDescent="0.25">
      <c r="A3" s="39" t="s">
        <v>70</v>
      </c>
      <c r="B3" s="39"/>
      <c r="C3" s="39"/>
    </row>
    <row r="4" spans="1:4" x14ac:dyDescent="0.25">
      <c r="A4" s="1" t="s">
        <v>71</v>
      </c>
      <c r="B4" s="14" t="s">
        <v>71</v>
      </c>
      <c r="C4" s="15" t="s">
        <v>72</v>
      </c>
    </row>
    <row r="5" spans="1:4" x14ac:dyDescent="0.25">
      <c r="A5" s="1" t="s">
        <v>73</v>
      </c>
      <c r="B5" s="14" t="s">
        <v>74</v>
      </c>
      <c r="C5" s="15" t="s">
        <v>75</v>
      </c>
    </row>
    <row r="6" spans="1:4" x14ac:dyDescent="0.25">
      <c r="A6" s="1" t="s">
        <v>76</v>
      </c>
      <c r="B6" s="14" t="s">
        <v>77</v>
      </c>
      <c r="C6" s="15" t="s">
        <v>78</v>
      </c>
    </row>
    <row r="7" spans="1:4" x14ac:dyDescent="0.25">
      <c r="A7" s="1" t="s">
        <v>79</v>
      </c>
      <c r="B7" s="59" t="s">
        <v>441</v>
      </c>
      <c r="C7" s="15" t="s">
        <v>80</v>
      </c>
    </row>
    <row r="8" spans="1:4" x14ac:dyDescent="0.25">
      <c r="A8" s="1" t="s">
        <v>81</v>
      </c>
      <c r="B8" s="14" t="s">
        <v>442</v>
      </c>
      <c r="C8" s="15" t="s">
        <v>82</v>
      </c>
    </row>
    <row r="9" spans="1:4" x14ac:dyDescent="0.25">
      <c r="A9" s="1" t="s">
        <v>83</v>
      </c>
      <c r="B9" s="14" t="s">
        <v>84</v>
      </c>
      <c r="C9" s="15" t="s">
        <v>85</v>
      </c>
    </row>
    <row r="10" spans="1:4" x14ac:dyDescent="0.25">
      <c r="A10" s="1" t="s">
        <v>86</v>
      </c>
      <c r="B10" s="14" t="s">
        <v>87</v>
      </c>
      <c r="C10" s="15" t="s">
        <v>88</v>
      </c>
    </row>
    <row r="11" spans="1:4" x14ac:dyDescent="0.25">
      <c r="A11" s="1" t="s">
        <v>89</v>
      </c>
      <c r="B11" s="16">
        <v>9</v>
      </c>
      <c r="C11" s="15" t="s">
        <v>90</v>
      </c>
    </row>
    <row r="12" spans="1:4" x14ac:dyDescent="0.25">
      <c r="A12" s="1" t="s">
        <v>91</v>
      </c>
      <c r="B12" s="16">
        <v>2026</v>
      </c>
      <c r="C12" s="15" t="s">
        <v>92</v>
      </c>
    </row>
    <row r="13" spans="1:4" x14ac:dyDescent="0.25">
      <c r="A13" s="1" t="s">
        <v>93</v>
      </c>
      <c r="B13" s="2">
        <f>DATE(B12,B11,1)</f>
        <v>46266</v>
      </c>
      <c r="C13" s="17" t="s">
        <v>94</v>
      </c>
    </row>
    <row r="14" spans="1:4" x14ac:dyDescent="0.25">
      <c r="A14" s="1" t="s">
        <v>95</v>
      </c>
      <c r="B14" s="2">
        <f>EOMONTH(B13,0)</f>
        <v>46295</v>
      </c>
      <c r="C14" s="17" t="s">
        <v>96</v>
      </c>
    </row>
    <row r="15" spans="1:4" x14ac:dyDescent="0.25">
      <c r="A15" s="1" t="s">
        <v>97</v>
      </c>
      <c r="B15" s="18">
        <f>EOMONTH(B13,1)-25</f>
        <v>46301</v>
      </c>
      <c r="C15" s="15" t="s">
        <v>98</v>
      </c>
    </row>
    <row r="17" spans="1:3" x14ac:dyDescent="0.25">
      <c r="A17" s="39" t="s">
        <v>99</v>
      </c>
      <c r="B17" s="39"/>
      <c r="C17" s="39"/>
    </row>
    <row r="18" spans="1:3" x14ac:dyDescent="0.25">
      <c r="A18" s="1" t="s">
        <v>100</v>
      </c>
      <c r="B18" s="19">
        <v>8</v>
      </c>
      <c r="C18" s="15" t="s">
        <v>101</v>
      </c>
    </row>
    <row r="19" spans="1:3" x14ac:dyDescent="0.25">
      <c r="A19" s="1" t="s">
        <v>102</v>
      </c>
      <c r="B19" s="19">
        <v>40</v>
      </c>
      <c r="C19" s="15" t="s">
        <v>103</v>
      </c>
    </row>
    <row r="20" spans="1:3" x14ac:dyDescent="0.25">
      <c r="A20" s="1" t="s">
        <v>104</v>
      </c>
      <c r="B20" s="16">
        <v>5</v>
      </c>
      <c r="C20" s="15" t="s">
        <v>105</v>
      </c>
    </row>
    <row r="21" spans="1:3" x14ac:dyDescent="0.25">
      <c r="A21" s="1" t="s">
        <v>106</v>
      </c>
      <c r="B21" s="20" t="s">
        <v>107</v>
      </c>
      <c r="C21" s="15" t="s">
        <v>108</v>
      </c>
    </row>
    <row r="22" spans="1:3" x14ac:dyDescent="0.25">
      <c r="A22" s="1" t="s">
        <v>109</v>
      </c>
      <c r="B22" s="20" t="s">
        <v>110</v>
      </c>
      <c r="C22" s="15" t="s">
        <v>111</v>
      </c>
    </row>
    <row r="23" spans="1:3" x14ac:dyDescent="0.25">
      <c r="A23" s="1" t="s">
        <v>112</v>
      </c>
      <c r="B23" s="19">
        <v>1</v>
      </c>
      <c r="C23" s="15" t="s">
        <v>113</v>
      </c>
    </row>
    <row r="24" spans="1:3" ht="24" x14ac:dyDescent="0.25">
      <c r="A24" s="1" t="s">
        <v>114</v>
      </c>
      <c r="B24" s="16">
        <v>10</v>
      </c>
      <c r="C24" s="15" t="s">
        <v>115</v>
      </c>
    </row>
    <row r="25" spans="1:3" x14ac:dyDescent="0.25">
      <c r="A25" s="1" t="s">
        <v>116</v>
      </c>
      <c r="B25" s="19">
        <v>8</v>
      </c>
      <c r="C25" s="15" t="s">
        <v>117</v>
      </c>
    </row>
    <row r="27" spans="1:3" x14ac:dyDescent="0.25">
      <c r="A27" s="39" t="s">
        <v>118</v>
      </c>
      <c r="B27" s="39"/>
      <c r="C27" s="39"/>
    </row>
    <row r="28" spans="1:3" x14ac:dyDescent="0.25">
      <c r="A28" s="1" t="s">
        <v>119</v>
      </c>
      <c r="B28" s="19">
        <v>1.25</v>
      </c>
      <c r="C28" s="15" t="s">
        <v>120</v>
      </c>
    </row>
    <row r="29" spans="1:3" x14ac:dyDescent="0.25">
      <c r="A29" s="1" t="s">
        <v>121</v>
      </c>
      <c r="B29" s="19">
        <v>1.5</v>
      </c>
      <c r="C29" s="15" t="s">
        <v>122</v>
      </c>
    </row>
    <row r="30" spans="1:3" x14ac:dyDescent="0.25">
      <c r="A30" s="1" t="s">
        <v>123</v>
      </c>
      <c r="B30" s="19">
        <v>2</v>
      </c>
      <c r="C30" s="15" t="s">
        <v>124</v>
      </c>
    </row>
    <row r="32" spans="1:3" x14ac:dyDescent="0.25">
      <c r="A32" s="39" t="s">
        <v>125</v>
      </c>
      <c r="B32" s="39"/>
      <c r="C32" s="39"/>
    </row>
    <row r="33" spans="1:3" x14ac:dyDescent="0.25">
      <c r="A33" s="1" t="s">
        <v>126</v>
      </c>
      <c r="B33" s="19">
        <v>208</v>
      </c>
      <c r="C33" s="15" t="s">
        <v>127</v>
      </c>
    </row>
    <row r="34" spans="1:3" x14ac:dyDescent="0.25">
      <c r="A34" s="1" t="s">
        <v>128</v>
      </c>
      <c r="B34" s="19">
        <v>26</v>
      </c>
      <c r="C34" s="15" t="s">
        <v>129</v>
      </c>
    </row>
    <row r="35" spans="1:3" x14ac:dyDescent="0.25">
      <c r="A35" s="1" t="s">
        <v>130</v>
      </c>
      <c r="B35" s="14" t="s">
        <v>131</v>
      </c>
      <c r="C35" s="15" t="s">
        <v>132</v>
      </c>
    </row>
    <row r="36" spans="1:3" x14ac:dyDescent="0.25">
      <c r="A36" s="1" t="s">
        <v>133</v>
      </c>
      <c r="B36" s="14" t="s">
        <v>134</v>
      </c>
      <c r="C36" s="15" t="s">
        <v>135</v>
      </c>
    </row>
    <row r="37" spans="1:3" x14ac:dyDescent="0.25">
      <c r="A37" s="1" t="s">
        <v>136</v>
      </c>
      <c r="B37" s="16">
        <v>2</v>
      </c>
      <c r="C37" s="15" t="s">
        <v>137</v>
      </c>
    </row>
    <row r="40" spans="1:3" x14ac:dyDescent="0.25">
      <c r="A40" s="8" t="s">
        <v>24</v>
      </c>
      <c r="B40" s="9" t="s">
        <v>25</v>
      </c>
    </row>
    <row r="41" spans="1:3" x14ac:dyDescent="0.25">
      <c r="A41" s="10" t="s">
        <v>24</v>
      </c>
      <c r="B41" s="9" t="s">
        <v>26</v>
      </c>
    </row>
    <row r="42" spans="1:3" x14ac:dyDescent="0.25">
      <c r="A42" s="11" t="s">
        <v>24</v>
      </c>
      <c r="B42" s="9" t="s">
        <v>27</v>
      </c>
    </row>
    <row r="43" spans="1:3" x14ac:dyDescent="0.25">
      <c r="A43" s="12" t="s">
        <v>24</v>
      </c>
      <c r="B43" s="9" t="s">
        <v>28</v>
      </c>
    </row>
    <row r="44" spans="1:3" x14ac:dyDescent="0.25">
      <c r="A44" s="13" t="s">
        <v>24</v>
      </c>
      <c r="B44" s="9" t="s">
        <v>29</v>
      </c>
    </row>
  </sheetData>
  <mergeCells count="5">
    <mergeCell ref="A1:D1"/>
    <mergeCell ref="A3:C3"/>
    <mergeCell ref="A17:C17"/>
    <mergeCell ref="A27:C27"/>
    <mergeCell ref="A32:C32"/>
  </mergeCells>
  <dataValidations count="2">
    <dataValidation type="list" sqref="B35" xr:uid="{00000000-0002-0000-0200-000000000000}">
      <formula1>"Working Days,Calendar Days,Monthly Hours"</formula1>
      <formula2>0</formula2>
    </dataValidation>
    <dataValidation type="list" sqref="B36" xr:uid="{00000000-0002-0000-0200-000001000000}">
      <formula1>"Normal Round,Round Up,Round Down"</formula1>
      <formula2>0</formula2>
    </dataValidation>
  </dataValidations>
  <hyperlinks>
    <hyperlink ref="B7" r:id="rId1" xr:uid="{B518B9AB-AC7F-42AB-9C89-4D618EFB736D}"/>
  </hyperlink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3864"/>
    <pageSetUpPr fitToPage="1"/>
  </sheetPr>
  <dimension ref="A1:S13"/>
  <sheetViews>
    <sheetView showGridLines="0" zoomScaleNormal="100" workbookViewId="0">
      <pane ySplit="3" topLeftCell="A4" activePane="bottomLeft" state="frozen"/>
      <selection pane="bottomLeft" activeCell="A4" sqref="A4"/>
    </sheetView>
  </sheetViews>
  <sheetFormatPr defaultColWidth="8.7109375" defaultRowHeight="15" x14ac:dyDescent="0.25"/>
  <cols>
    <col min="1" max="1" width="10" customWidth="1"/>
    <col min="2" max="2" width="18" customWidth="1"/>
    <col min="3" max="4" width="12" customWidth="1"/>
    <col min="5" max="5" width="16" customWidth="1"/>
    <col min="6" max="6" width="20" customWidth="1"/>
    <col min="7" max="8" width="14" customWidth="1"/>
    <col min="9" max="9" width="12" customWidth="1"/>
    <col min="10" max="10" width="14" customWidth="1"/>
    <col min="11" max="12" width="12" customWidth="1"/>
    <col min="13" max="13" width="16" customWidth="1"/>
    <col min="14" max="16" width="10" customWidth="1"/>
    <col min="17" max="17" width="12" customWidth="1"/>
    <col min="18" max="18" width="22" customWidth="1"/>
    <col min="19" max="19" width="12" customWidth="1"/>
  </cols>
  <sheetData>
    <row r="1" spans="1:19" ht="27.75" customHeight="1" x14ac:dyDescent="0.25">
      <c r="A1" s="45" t="s">
        <v>138</v>
      </c>
      <c r="B1" s="45"/>
      <c r="C1" s="45"/>
      <c r="D1" s="45"/>
      <c r="E1" s="45"/>
      <c r="F1" s="45"/>
      <c r="G1" s="45"/>
      <c r="H1" s="45"/>
      <c r="I1" s="45"/>
      <c r="J1" s="45"/>
      <c r="K1" s="45"/>
      <c r="L1" s="45"/>
      <c r="M1" s="45"/>
      <c r="N1" s="45"/>
      <c r="O1" s="45"/>
      <c r="P1" s="45"/>
      <c r="Q1" s="45"/>
      <c r="R1" s="45"/>
      <c r="S1" s="45"/>
    </row>
    <row r="3" spans="1:19" ht="38.25" x14ac:dyDescent="0.25">
      <c r="A3" s="6" t="s">
        <v>139</v>
      </c>
      <c r="B3" s="6" t="s">
        <v>140</v>
      </c>
      <c r="C3" s="6" t="s">
        <v>141</v>
      </c>
      <c r="D3" s="6" t="s">
        <v>142</v>
      </c>
      <c r="E3" s="6" t="s">
        <v>143</v>
      </c>
      <c r="F3" s="6" t="s">
        <v>144</v>
      </c>
      <c r="G3" s="6" t="s">
        <v>145</v>
      </c>
      <c r="H3" s="6" t="s">
        <v>146</v>
      </c>
      <c r="I3" s="6" t="s">
        <v>147</v>
      </c>
      <c r="J3" s="6" t="s">
        <v>148</v>
      </c>
      <c r="K3" s="6" t="s">
        <v>149</v>
      </c>
      <c r="L3" s="6" t="s">
        <v>150</v>
      </c>
      <c r="M3" s="6" t="s">
        <v>151</v>
      </c>
      <c r="N3" s="6" t="s">
        <v>152</v>
      </c>
      <c r="O3" s="6" t="s">
        <v>153</v>
      </c>
      <c r="P3" s="6" t="s">
        <v>154</v>
      </c>
      <c r="Q3" s="6" t="s">
        <v>155</v>
      </c>
      <c r="R3" s="6" t="s">
        <v>156</v>
      </c>
      <c r="S3" s="6" t="s">
        <v>157</v>
      </c>
    </row>
    <row r="4" spans="1:19" x14ac:dyDescent="0.25">
      <c r="A4" s="14" t="s">
        <v>158</v>
      </c>
      <c r="B4" s="14" t="s">
        <v>159</v>
      </c>
      <c r="C4" s="14" t="s">
        <v>160</v>
      </c>
      <c r="D4" s="14" t="s">
        <v>161</v>
      </c>
      <c r="E4" s="14" t="s">
        <v>162</v>
      </c>
      <c r="F4" s="14" t="s">
        <v>163</v>
      </c>
      <c r="G4" s="14" t="s">
        <v>164</v>
      </c>
      <c r="H4" s="14" t="s">
        <v>165</v>
      </c>
      <c r="I4" s="14" t="s">
        <v>166</v>
      </c>
      <c r="J4" s="14" t="s">
        <v>167</v>
      </c>
      <c r="K4" s="18">
        <v>44621</v>
      </c>
      <c r="L4" s="18"/>
      <c r="M4" s="21">
        <v>4200</v>
      </c>
      <c r="N4" s="14">
        <v>8</v>
      </c>
      <c r="O4" s="14">
        <v>40</v>
      </c>
      <c r="P4" s="14" t="s">
        <v>168</v>
      </c>
      <c r="Q4" s="14" t="s">
        <v>169</v>
      </c>
      <c r="R4" s="14"/>
      <c r="S4" s="3" t="str">
        <f t="shared" ref="S4:S13" si="0">IF(COUNTIF($A$4:$A$13,A4)&gt;1,"DUPLICATE","OK")</f>
        <v>OK</v>
      </c>
    </row>
    <row r="5" spans="1:19" x14ac:dyDescent="0.25">
      <c r="A5" s="14" t="s">
        <v>170</v>
      </c>
      <c r="B5" s="14" t="s">
        <v>171</v>
      </c>
      <c r="C5" s="14" t="s">
        <v>172</v>
      </c>
      <c r="D5" s="14" t="s">
        <v>173</v>
      </c>
      <c r="E5" s="14" t="s">
        <v>174</v>
      </c>
      <c r="F5" s="14" t="s">
        <v>175</v>
      </c>
      <c r="G5" s="14" t="s">
        <v>176</v>
      </c>
      <c r="H5" s="14" t="s">
        <v>177</v>
      </c>
      <c r="I5" s="14" t="s">
        <v>166</v>
      </c>
      <c r="J5" s="14" t="s">
        <v>167</v>
      </c>
      <c r="K5" s="18">
        <v>44362</v>
      </c>
      <c r="L5" s="18"/>
      <c r="M5" s="21">
        <v>5200</v>
      </c>
      <c r="N5" s="14">
        <v>8</v>
      </c>
      <c r="O5" s="14">
        <v>40</v>
      </c>
      <c r="P5" s="14" t="s">
        <v>168</v>
      </c>
      <c r="Q5" s="14" t="s">
        <v>169</v>
      </c>
      <c r="R5" s="14"/>
      <c r="S5" s="3" t="str">
        <f t="shared" si="0"/>
        <v>OK</v>
      </c>
    </row>
    <row r="6" spans="1:19" x14ac:dyDescent="0.25">
      <c r="A6" s="14" t="s">
        <v>178</v>
      </c>
      <c r="B6" s="14" t="s">
        <v>179</v>
      </c>
      <c r="C6" s="14" t="s">
        <v>180</v>
      </c>
      <c r="D6" s="14" t="s">
        <v>181</v>
      </c>
      <c r="E6" s="14" t="s">
        <v>182</v>
      </c>
      <c r="F6" s="14" t="s">
        <v>183</v>
      </c>
      <c r="G6" s="14" t="s">
        <v>164</v>
      </c>
      <c r="H6" s="14" t="s">
        <v>84</v>
      </c>
      <c r="I6" s="14" t="s">
        <v>166</v>
      </c>
      <c r="J6" s="14" t="s">
        <v>167</v>
      </c>
      <c r="K6" s="18">
        <v>44936</v>
      </c>
      <c r="L6" s="18"/>
      <c r="M6" s="21">
        <v>5600</v>
      </c>
      <c r="N6" s="14">
        <v>8</v>
      </c>
      <c r="O6" s="14">
        <v>40</v>
      </c>
      <c r="P6" s="14" t="s">
        <v>184</v>
      </c>
      <c r="Q6" s="14" t="s">
        <v>169</v>
      </c>
      <c r="R6" s="14"/>
      <c r="S6" s="3" t="str">
        <f t="shared" si="0"/>
        <v>OK</v>
      </c>
    </row>
    <row r="7" spans="1:19" x14ac:dyDescent="0.25">
      <c r="A7" s="14" t="s">
        <v>185</v>
      </c>
      <c r="B7" s="14" t="s">
        <v>186</v>
      </c>
      <c r="C7" s="14" t="s">
        <v>187</v>
      </c>
      <c r="D7" s="14" t="s">
        <v>188</v>
      </c>
      <c r="E7" s="14" t="s">
        <v>189</v>
      </c>
      <c r="F7" s="14" t="s">
        <v>190</v>
      </c>
      <c r="G7" s="14" t="s">
        <v>191</v>
      </c>
      <c r="H7" s="14" t="s">
        <v>192</v>
      </c>
      <c r="I7" s="14" t="s">
        <v>166</v>
      </c>
      <c r="J7" s="14" t="s">
        <v>167</v>
      </c>
      <c r="K7" s="18">
        <v>44075</v>
      </c>
      <c r="L7" s="18"/>
      <c r="M7" s="21">
        <v>7800</v>
      </c>
      <c r="N7" s="14">
        <v>8</v>
      </c>
      <c r="O7" s="14">
        <v>40</v>
      </c>
      <c r="P7" s="14" t="s">
        <v>168</v>
      </c>
      <c r="Q7" s="14" t="s">
        <v>169</v>
      </c>
      <c r="R7" s="14"/>
      <c r="S7" s="3" t="str">
        <f t="shared" si="0"/>
        <v>OK</v>
      </c>
    </row>
    <row r="8" spans="1:19" x14ac:dyDescent="0.25">
      <c r="A8" s="14" t="s">
        <v>193</v>
      </c>
      <c r="B8" s="14" t="s">
        <v>194</v>
      </c>
      <c r="C8" s="14" t="s">
        <v>195</v>
      </c>
      <c r="D8" s="14" t="s">
        <v>196</v>
      </c>
      <c r="E8" s="14" t="s">
        <v>162</v>
      </c>
      <c r="F8" s="14" t="s">
        <v>163</v>
      </c>
      <c r="G8" s="14" t="s">
        <v>164</v>
      </c>
      <c r="H8" s="14" t="s">
        <v>165</v>
      </c>
      <c r="I8" s="14" t="s">
        <v>166</v>
      </c>
      <c r="J8" s="14" t="s">
        <v>167</v>
      </c>
      <c r="K8" s="18">
        <v>45066</v>
      </c>
      <c r="L8" s="18"/>
      <c r="M8" s="21">
        <v>4100</v>
      </c>
      <c r="N8" s="14">
        <v>8</v>
      </c>
      <c r="O8" s="14">
        <v>40</v>
      </c>
      <c r="P8" s="14" t="s">
        <v>168</v>
      </c>
      <c r="Q8" s="14" t="s">
        <v>169</v>
      </c>
      <c r="R8" s="14" t="s">
        <v>197</v>
      </c>
      <c r="S8" s="3" t="str">
        <f t="shared" si="0"/>
        <v>OK</v>
      </c>
    </row>
    <row r="9" spans="1:19" x14ac:dyDescent="0.25">
      <c r="A9" s="14" t="s">
        <v>198</v>
      </c>
      <c r="B9" s="14" t="s">
        <v>199</v>
      </c>
      <c r="C9" s="14" t="s">
        <v>200</v>
      </c>
      <c r="D9" s="14" t="s">
        <v>201</v>
      </c>
      <c r="E9" s="14" t="s">
        <v>174</v>
      </c>
      <c r="F9" s="14" t="s">
        <v>202</v>
      </c>
      <c r="G9" s="14" t="s">
        <v>176</v>
      </c>
      <c r="H9" s="14" t="s">
        <v>177</v>
      </c>
      <c r="I9" s="14" t="s">
        <v>166</v>
      </c>
      <c r="J9" s="14" t="s">
        <v>167</v>
      </c>
      <c r="K9" s="18">
        <v>44866</v>
      </c>
      <c r="L9" s="18"/>
      <c r="M9" s="21">
        <v>3900</v>
      </c>
      <c r="N9" s="14">
        <v>8</v>
      </c>
      <c r="O9" s="14">
        <v>40</v>
      </c>
      <c r="P9" s="14" t="s">
        <v>168</v>
      </c>
      <c r="Q9" s="14" t="s">
        <v>203</v>
      </c>
      <c r="R9" s="14" t="s">
        <v>204</v>
      </c>
      <c r="S9" s="3" t="str">
        <f t="shared" si="0"/>
        <v>OK</v>
      </c>
    </row>
    <row r="10" spans="1:19" x14ac:dyDescent="0.25">
      <c r="A10" s="14" t="s">
        <v>205</v>
      </c>
      <c r="B10" s="14" t="s">
        <v>177</v>
      </c>
      <c r="C10" s="14" t="s">
        <v>206</v>
      </c>
      <c r="D10" s="14" t="s">
        <v>207</v>
      </c>
      <c r="E10" s="14" t="s">
        <v>174</v>
      </c>
      <c r="F10" s="14" t="s">
        <v>208</v>
      </c>
      <c r="G10" s="14" t="s">
        <v>176</v>
      </c>
      <c r="H10" s="14" t="s">
        <v>84</v>
      </c>
      <c r="I10" s="14" t="s">
        <v>166</v>
      </c>
      <c r="J10" s="14" t="s">
        <v>167</v>
      </c>
      <c r="K10" s="18">
        <v>43511</v>
      </c>
      <c r="L10" s="18"/>
      <c r="M10" s="21">
        <v>6500</v>
      </c>
      <c r="N10" s="14">
        <v>8</v>
      </c>
      <c r="O10" s="14">
        <v>40</v>
      </c>
      <c r="P10" s="14" t="s">
        <v>184</v>
      </c>
      <c r="Q10" s="14" t="s">
        <v>169</v>
      </c>
      <c r="R10" s="14"/>
      <c r="S10" s="3" t="str">
        <f t="shared" si="0"/>
        <v>OK</v>
      </c>
    </row>
    <row r="11" spans="1:19" x14ac:dyDescent="0.25">
      <c r="A11" s="14" t="s">
        <v>209</v>
      </c>
      <c r="B11" s="14" t="s">
        <v>210</v>
      </c>
      <c r="C11" s="14" t="s">
        <v>211</v>
      </c>
      <c r="D11" s="14" t="s">
        <v>212</v>
      </c>
      <c r="E11" s="14" t="s">
        <v>189</v>
      </c>
      <c r="F11" s="14" t="s">
        <v>213</v>
      </c>
      <c r="G11" s="14" t="s">
        <v>164</v>
      </c>
      <c r="H11" s="14" t="s">
        <v>192</v>
      </c>
      <c r="I11" s="14" t="s">
        <v>166</v>
      </c>
      <c r="J11" s="14" t="s">
        <v>167</v>
      </c>
      <c r="K11" s="18">
        <v>45139</v>
      </c>
      <c r="L11" s="18"/>
      <c r="M11" s="21">
        <v>4700</v>
      </c>
      <c r="N11" s="14">
        <v>8</v>
      </c>
      <c r="O11" s="14">
        <v>40</v>
      </c>
      <c r="P11" s="14" t="s">
        <v>168</v>
      </c>
      <c r="Q11" s="14" t="s">
        <v>169</v>
      </c>
      <c r="R11" s="14" t="s">
        <v>214</v>
      </c>
      <c r="S11" s="3" t="str">
        <f t="shared" si="0"/>
        <v>OK</v>
      </c>
    </row>
    <row r="12" spans="1:19" x14ac:dyDescent="0.25">
      <c r="A12" s="14" t="s">
        <v>215</v>
      </c>
      <c r="B12" s="14" t="s">
        <v>216</v>
      </c>
      <c r="C12" s="14" t="s">
        <v>217</v>
      </c>
      <c r="D12" s="14" t="s">
        <v>218</v>
      </c>
      <c r="E12" s="14" t="s">
        <v>219</v>
      </c>
      <c r="F12" s="14" t="s">
        <v>220</v>
      </c>
      <c r="G12" s="14" t="s">
        <v>164</v>
      </c>
      <c r="H12" s="14" t="s">
        <v>84</v>
      </c>
      <c r="I12" s="14" t="s">
        <v>166</v>
      </c>
      <c r="J12" s="14" t="s">
        <v>167</v>
      </c>
      <c r="K12" s="18">
        <v>44566</v>
      </c>
      <c r="L12" s="18"/>
      <c r="M12" s="21">
        <v>4500</v>
      </c>
      <c r="N12" s="14">
        <v>8</v>
      </c>
      <c r="O12" s="14">
        <v>40</v>
      </c>
      <c r="P12" s="14" t="s">
        <v>184</v>
      </c>
      <c r="Q12" s="14" t="s">
        <v>169</v>
      </c>
      <c r="R12" s="14"/>
      <c r="S12" s="3" t="str">
        <f t="shared" si="0"/>
        <v>OK</v>
      </c>
    </row>
    <row r="13" spans="1:19" x14ac:dyDescent="0.25">
      <c r="A13" s="14" t="s">
        <v>221</v>
      </c>
      <c r="B13" s="14" t="s">
        <v>222</v>
      </c>
      <c r="C13" s="14" t="s">
        <v>223</v>
      </c>
      <c r="D13" s="14" t="s">
        <v>224</v>
      </c>
      <c r="E13" s="14" t="s">
        <v>182</v>
      </c>
      <c r="F13" s="14" t="s">
        <v>225</v>
      </c>
      <c r="G13" s="14" t="s">
        <v>164</v>
      </c>
      <c r="H13" s="14" t="s">
        <v>84</v>
      </c>
      <c r="I13" s="14" t="s">
        <v>166</v>
      </c>
      <c r="J13" s="14" t="s">
        <v>167</v>
      </c>
      <c r="K13" s="18">
        <v>44298</v>
      </c>
      <c r="L13" s="18"/>
      <c r="M13" s="21">
        <v>6100</v>
      </c>
      <c r="N13" s="14">
        <v>8</v>
      </c>
      <c r="O13" s="14">
        <v>40</v>
      </c>
      <c r="P13" s="14" t="s">
        <v>168</v>
      </c>
      <c r="Q13" s="14" t="s">
        <v>169</v>
      </c>
      <c r="R13" s="14" t="s">
        <v>226</v>
      </c>
      <c r="S13" s="3" t="str">
        <f t="shared" si="0"/>
        <v>OK</v>
      </c>
    </row>
  </sheetData>
  <mergeCells count="1">
    <mergeCell ref="A1:S1"/>
  </mergeCells>
  <pageMargins left="0.4" right="0.4" top="0.5" bottom="0.5" header="0.511811023622047" footer="0.511811023622047"/>
  <pageSetup fitToHeight="0" orientation="landscape" horizontalDpi="300" verticalDpi="300"/>
  <tableParts count="1">
    <tablePart r:id="rId1"/>
  </tableParts>
  <extLst>
    <ext xmlns:x14="http://schemas.microsoft.com/office/spreadsheetml/2009/9/main" uri="{CCE6A557-97BC-4b89-ADB6-D9C93CAAB3DF}">
      <x14:dataValidations xmlns:xm="http://schemas.microsoft.com/office/excel/2006/main" count="6">
        <x14:dataValidation type="list" allowBlank="1" xr:uid="{00000000-0002-0000-0300-000000000000}">
          <x14:formula1>
            <xm:f>Lists!$A$4:$A$8</xm:f>
          </x14:formula1>
          <x14:formula2>
            <xm:f>0</xm:f>
          </x14:formula2>
          <xm:sqref>E4:E63</xm:sqref>
        </x14:dataValidation>
        <x14:dataValidation type="list" allowBlank="1" xr:uid="{00000000-0002-0000-0300-000001000000}">
          <x14:formula1>
            <xm:f>Lists!$B$4:$B$6</xm:f>
          </x14:formula1>
          <x14:formula2>
            <xm:f>0</xm:f>
          </x14:formula2>
          <xm:sqref>G4:G63</xm:sqref>
        </x14:dataValidation>
        <x14:dataValidation type="list" allowBlank="1" xr:uid="{00000000-0002-0000-0300-000002000000}">
          <x14:formula1>
            <xm:f>Lists!$C$4:$C$6</xm:f>
          </x14:formula1>
          <x14:formula2>
            <xm:f>0</xm:f>
          </x14:formula2>
          <xm:sqref>I4:I63</xm:sqref>
        </x14:dataValidation>
        <x14:dataValidation type="list" allowBlank="1" xr:uid="{00000000-0002-0000-0300-000003000000}">
          <x14:formula1>
            <xm:f>Lists!$D$4:$D$6</xm:f>
          </x14:formula1>
          <x14:formula2>
            <xm:f>0</xm:f>
          </x14:formula2>
          <xm:sqref>J4:J63</xm:sqref>
        </x14:dataValidation>
        <x14:dataValidation type="list" allowBlank="1" xr:uid="{00000000-0002-0000-0300-000004000000}">
          <x14:formula1>
            <xm:f>Lists!$E$4:$E$6</xm:f>
          </x14:formula1>
          <x14:formula2>
            <xm:f>0</xm:f>
          </x14:formula2>
          <xm:sqref>Q4:Q63</xm:sqref>
        </x14:dataValidation>
        <x14:dataValidation type="list" allowBlank="1" xr:uid="{00000000-0002-0000-0300-000005000000}">
          <x14:formula1>
            <xm:f>Lists!$J$4:$J$5</xm:f>
          </x14:formula1>
          <x14:formula2>
            <xm:f>0</xm:f>
          </x14:formula2>
          <xm:sqref>P4:P63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3864"/>
    <pageSetUpPr fitToPage="1"/>
  </sheetPr>
  <dimension ref="A1:V31"/>
  <sheetViews>
    <sheetView showGridLines="0" zoomScaleNormal="100" workbookViewId="0">
      <pane ySplit="3" topLeftCell="A4" activePane="bottomLeft" state="frozen"/>
      <selection pane="bottomLeft" activeCell="D4" sqref="D4"/>
    </sheetView>
  </sheetViews>
  <sheetFormatPr defaultColWidth="8.7109375" defaultRowHeight="15" x14ac:dyDescent="0.25"/>
  <cols>
    <col min="1" max="1" width="13" customWidth="1"/>
    <col min="2" max="2" width="11" customWidth="1"/>
    <col min="3" max="4" width="16" customWidth="1"/>
    <col min="5" max="5" width="9" customWidth="1"/>
    <col min="6" max="7" width="11" customWidth="1"/>
    <col min="8" max="16" width="10" customWidth="1"/>
    <col min="17" max="17" width="11" customWidth="1"/>
    <col min="18" max="18" width="9" customWidth="1"/>
    <col min="19" max="19" width="10" customWidth="1"/>
    <col min="20" max="20" width="15" customWidth="1"/>
    <col min="21" max="21" width="12" customWidth="1"/>
    <col min="22" max="22" width="34" customWidth="1"/>
  </cols>
  <sheetData>
    <row r="1" spans="1:22" ht="27.75" customHeight="1" x14ac:dyDescent="0.25">
      <c r="A1" s="45" t="s">
        <v>227</v>
      </c>
      <c r="B1" s="45"/>
      <c r="C1" s="45"/>
      <c r="D1" s="45"/>
      <c r="E1" s="45"/>
      <c r="F1" s="45"/>
      <c r="G1" s="45"/>
      <c r="H1" s="45"/>
      <c r="I1" s="45"/>
      <c r="J1" s="45"/>
      <c r="K1" s="45"/>
      <c r="L1" s="45"/>
      <c r="M1" s="45"/>
      <c r="N1" s="45"/>
      <c r="O1" s="45"/>
      <c r="P1" s="45"/>
      <c r="Q1" s="45"/>
      <c r="R1" s="45"/>
      <c r="S1" s="45"/>
      <c r="T1" s="45"/>
      <c r="U1" s="45"/>
      <c r="V1" s="45"/>
    </row>
    <row r="3" spans="1:22" ht="38.25" x14ac:dyDescent="0.25">
      <c r="A3" s="6" t="s">
        <v>228</v>
      </c>
      <c r="B3" s="6" t="s">
        <v>139</v>
      </c>
      <c r="C3" s="6" t="s">
        <v>140</v>
      </c>
      <c r="D3" s="6" t="s">
        <v>143</v>
      </c>
      <c r="E3" s="6" t="s">
        <v>229</v>
      </c>
      <c r="F3" s="6" t="s">
        <v>230</v>
      </c>
      <c r="G3" s="6" t="s">
        <v>231</v>
      </c>
      <c r="H3" s="6" t="s">
        <v>232</v>
      </c>
      <c r="I3" s="6" t="s">
        <v>233</v>
      </c>
      <c r="J3" s="6" t="s">
        <v>234</v>
      </c>
      <c r="K3" s="6" t="s">
        <v>235</v>
      </c>
      <c r="L3" s="6" t="s">
        <v>236</v>
      </c>
      <c r="M3" s="6" t="s">
        <v>237</v>
      </c>
      <c r="N3" s="6" t="s">
        <v>238</v>
      </c>
      <c r="O3" s="6" t="s">
        <v>239</v>
      </c>
      <c r="P3" s="6" t="s">
        <v>240</v>
      </c>
      <c r="Q3" s="6" t="s">
        <v>241</v>
      </c>
      <c r="R3" s="6" t="s">
        <v>242</v>
      </c>
      <c r="S3" s="6" t="s">
        <v>243</v>
      </c>
      <c r="T3" s="6" t="s">
        <v>244</v>
      </c>
      <c r="U3" s="6" t="s">
        <v>245</v>
      </c>
      <c r="V3" s="6" t="s">
        <v>156</v>
      </c>
    </row>
    <row r="4" spans="1:22" x14ac:dyDescent="0.25">
      <c r="A4" s="22">
        <v>46266</v>
      </c>
      <c r="B4" s="8" t="s">
        <v>158</v>
      </c>
      <c r="C4" s="3" t="str">
        <f>IFERROR(INDEX(tblEmployees[Employee Name],MATCH(B4,tblEmployees[Employee ID],0)),"")</f>
        <v>Amelia Carter</v>
      </c>
      <c r="D4" s="3" t="str">
        <f>IFERROR(INDEX(tblEmployees[Department],MATCH(B4,tblEmployees[Employee ID],0)),"")</f>
        <v>Sales</v>
      </c>
      <c r="E4" s="8" t="s">
        <v>169</v>
      </c>
      <c r="F4" s="23">
        <v>0.33333333333333298</v>
      </c>
      <c r="G4" s="23">
        <v>0.70833333333333304</v>
      </c>
      <c r="H4" s="23">
        <v>0.33194444444444399</v>
      </c>
      <c r="I4" s="23">
        <v>0.70972222222222203</v>
      </c>
      <c r="J4" s="23">
        <v>0.5</v>
      </c>
      <c r="K4" s="23">
        <v>0.54166666666666696</v>
      </c>
      <c r="L4" s="24">
        <f>IF(AND(J4&lt;&gt;"",K4&lt;&gt;""),IF(K4&gt;=J4,(K4-J4)*24,(K4+1-J4)*24),IF(AND(H4&lt;&gt;"",I4&lt;&gt;""),Settings!$B$23,0))</f>
        <v>1.0000000000000071</v>
      </c>
      <c r="M4" s="24">
        <f t="shared" ref="M4:M31" si="0">IF(OR(H4="",I4=""),"",IF(I4&gt;=H4,(I4-H4)*24,(I4+1-H4)*24))</f>
        <v>9.0666666666666735</v>
      </c>
      <c r="N4" s="24">
        <f>IF(M4="","",IF(COUNTIFS(tblHolidays[Holiday Date],A4)&gt;0,0,IF(WEEKDAY(A4,2)&gt;Settings!$B$20,0,MIN(MAX(M4-L4,0),Settings!$B$25))))</f>
        <v>8</v>
      </c>
      <c r="O4" s="24">
        <f>IF(M4="","",IF(COUNTIFS(tblHolidays[Holiday Date],A4)&gt;0,0,IF(WEEKDAY(A4,2)&gt;Settings!$B$20,0,MAX(MAX(M4-L4,0)-Settings!$B$25,0))))</f>
        <v>6.666666666666643E-2</v>
      </c>
      <c r="P4" s="24">
        <f>IF(M4="","",IF(COUNTIFS(tblHolidays[Holiday Date],A4)&gt;0,0,IF(WEEKDAY(A4,2)&gt;Settings!$B$20,MAX(M4-L4,0),0)))</f>
        <v>0</v>
      </c>
      <c r="Q4" s="24">
        <f>IF(M4="","",IF(COUNTIFS(tblHolidays[Holiday Date],A4)&gt;0,MAX(M4-L4,0),0))</f>
        <v>0</v>
      </c>
      <c r="R4" s="25">
        <f>IF(OR(H4="",F4=""),0,MAX((H4-F4)*1440-Settings!$B$24,0))</f>
        <v>0</v>
      </c>
      <c r="S4" s="25">
        <f t="shared" ref="S4:S31" si="1">IF(OR(I4="",G4=""),0,MAX((G4-I4)*1440,0))</f>
        <v>0</v>
      </c>
      <c r="T4" s="3" t="str">
        <f>IF(B4="","",IF(H4="","Missing Clock In",IF(I4="","Missing Clock Out",IF(COUNTIFS(tblHolidays[Holiday Date],A4)&gt;0,"Holiday Worked",IF(WEEKDAY(A4,2)&gt;Settings!$B$20,"Weekend Worked",IF(R4&gt;0,"Late Arrival",IF(S4&gt;0,"Early Departure","Present")))))))</f>
        <v>Present</v>
      </c>
      <c r="U4" s="8" t="s">
        <v>246</v>
      </c>
      <c r="V4" s="8" t="s">
        <v>247</v>
      </c>
    </row>
    <row r="5" spans="1:22" x14ac:dyDescent="0.25">
      <c r="A5" s="22">
        <v>46266</v>
      </c>
      <c r="B5" s="8" t="s">
        <v>158</v>
      </c>
      <c r="C5" s="3" t="str">
        <f>IFERROR(INDEX(tblEmployees[Employee Name],MATCH(B5,tblEmployees[Employee ID],0)),"")</f>
        <v>Amelia Carter</v>
      </c>
      <c r="D5" s="3" t="str">
        <f>IFERROR(INDEX(tblEmployees[Department],MATCH(B5,tblEmployees[Employee ID],0)),"")</f>
        <v>Sales</v>
      </c>
      <c r="E5" s="8" t="s">
        <v>169</v>
      </c>
      <c r="F5" s="23">
        <v>0.33333333333333298</v>
      </c>
      <c r="G5" s="23">
        <v>0.70833333333333304</v>
      </c>
      <c r="H5" s="23">
        <v>0.33194444444444399</v>
      </c>
      <c r="I5" s="23">
        <v>0.70972222222222203</v>
      </c>
      <c r="J5" s="23">
        <v>0.5</v>
      </c>
      <c r="K5" s="23">
        <v>0.54166666666666696</v>
      </c>
      <c r="L5" s="24">
        <f>IF(AND(J5&lt;&gt;"",K5&lt;&gt;""),IF(K5&gt;=J5,(K5-J5)*24,(K5+1-J5)*24),IF(AND(H5&lt;&gt;"",I5&lt;&gt;""),Settings!$B$23,0))</f>
        <v>1.0000000000000071</v>
      </c>
      <c r="M5" s="24">
        <f t="shared" si="0"/>
        <v>9.0666666666666735</v>
      </c>
      <c r="N5" s="24">
        <f>IF(M5="","",IF(COUNTIFS(tblHolidays[Holiday Date],A5)&gt;0,0,IF(WEEKDAY(A5,2)&gt;Settings!$B$20,0,MIN(MAX(M5-L5,0),Settings!$B$25))))</f>
        <v>8</v>
      </c>
      <c r="O5" s="24">
        <f>IF(M5="","",IF(COUNTIFS(tblHolidays[Holiday Date],A5)&gt;0,0,IF(WEEKDAY(A5,2)&gt;Settings!$B$20,0,MAX(MAX(M5-L5,0)-Settings!$B$25,0))))</f>
        <v>6.666666666666643E-2</v>
      </c>
      <c r="P5" s="24">
        <f>IF(M5="","",IF(COUNTIFS(tblHolidays[Holiday Date],A5)&gt;0,0,IF(WEEKDAY(A5,2)&gt;Settings!$B$20,MAX(M5-L5,0),0)))</f>
        <v>0</v>
      </c>
      <c r="Q5" s="24">
        <f>IF(M5="","",IF(COUNTIFS(tblHolidays[Holiday Date],A5)&gt;0,MAX(M5-L5,0),0))</f>
        <v>0</v>
      </c>
      <c r="R5" s="25">
        <f>IF(OR(H5="",F5=""),0,MAX((H5-F5)*1440-Settings!$B$24,0))</f>
        <v>0</v>
      </c>
      <c r="S5" s="25">
        <f t="shared" si="1"/>
        <v>0</v>
      </c>
      <c r="T5" s="3" t="str">
        <f>IF(B5="","",IF(H5="","Missing Clock In",IF(I5="","Missing Clock Out",IF(COUNTIFS(tblHolidays[Holiday Date],A5)&gt;0,"Holiday Worked",IF(WEEKDAY(A5,2)&gt;Settings!$B$20,"Weekend Worked",IF(R5&gt;0,"Late Arrival",IF(S5&gt;0,"Early Departure","Present")))))))</f>
        <v>Present</v>
      </c>
      <c r="U5" s="8" t="s">
        <v>246</v>
      </c>
      <c r="V5" s="8" t="s">
        <v>248</v>
      </c>
    </row>
    <row r="6" spans="1:22" x14ac:dyDescent="0.25">
      <c r="A6" s="22">
        <v>46267</v>
      </c>
      <c r="B6" s="8" t="s">
        <v>158</v>
      </c>
      <c r="C6" s="3" t="str">
        <f>IFERROR(INDEX(tblEmployees[Employee Name],MATCH(B6,tblEmployees[Employee ID],0)),"")</f>
        <v>Amelia Carter</v>
      </c>
      <c r="D6" s="3" t="str">
        <f>IFERROR(INDEX(tblEmployees[Department],MATCH(B6,tblEmployees[Employee ID],0)),"")</f>
        <v>Sales</v>
      </c>
      <c r="E6" s="8" t="s">
        <v>169</v>
      </c>
      <c r="F6" s="23">
        <v>0.33333333333333298</v>
      </c>
      <c r="G6" s="23">
        <v>0.70833333333333304</v>
      </c>
      <c r="H6" s="23">
        <v>0.33402777777777798</v>
      </c>
      <c r="I6" s="23">
        <v>0.70833333333333304</v>
      </c>
      <c r="J6" s="23">
        <v>0.5</v>
      </c>
      <c r="K6" s="23">
        <v>0.54166666666666696</v>
      </c>
      <c r="L6" s="24">
        <f>IF(AND(J6&lt;&gt;"",K6&lt;&gt;""),IF(K6&gt;=J6,(K6-J6)*24,(K6+1-J6)*24),IF(AND(H6&lt;&gt;"",I6&lt;&gt;""),Settings!$B$23,0))</f>
        <v>1.0000000000000071</v>
      </c>
      <c r="M6" s="24">
        <f t="shared" si="0"/>
        <v>8.9833333333333218</v>
      </c>
      <c r="N6" s="24">
        <f>IF(M6="","",IF(COUNTIFS(tblHolidays[Holiday Date],A6)&gt;0,0,IF(WEEKDAY(A6,2)&gt;Settings!$B$20,0,MIN(MAX(M6-L6,0),Settings!$B$25))))</f>
        <v>7.9833333333333147</v>
      </c>
      <c r="O6" s="24">
        <f>IF(M6="","",IF(COUNTIFS(tblHolidays[Holiday Date],A6)&gt;0,0,IF(WEEKDAY(A6,2)&gt;Settings!$B$20,0,MAX(MAX(M6-L6,0)-Settings!$B$25,0))))</f>
        <v>0</v>
      </c>
      <c r="P6" s="24">
        <f>IF(M6="","",IF(COUNTIFS(tblHolidays[Holiday Date],A6)&gt;0,0,IF(WEEKDAY(A6,2)&gt;Settings!$B$20,MAX(M6-L6,0),0)))</f>
        <v>0</v>
      </c>
      <c r="Q6" s="24">
        <f>IF(M6="","",IF(COUNTIFS(tblHolidays[Holiday Date],A6)&gt;0,MAX(M6-L6,0),0))</f>
        <v>0</v>
      </c>
      <c r="R6" s="25">
        <f>IF(OR(H6="",F6=""),0,MAX((H6-F6)*1440-Settings!$B$24,0))</f>
        <v>0</v>
      </c>
      <c r="S6" s="25">
        <f t="shared" si="1"/>
        <v>0</v>
      </c>
      <c r="T6" s="3" t="str">
        <f>IF(B6="","",IF(H6="","Missing Clock In",IF(I6="","Missing Clock Out",IF(COUNTIFS(tblHolidays[Holiday Date],A6)&gt;0,"Holiday Worked",IF(WEEKDAY(A6,2)&gt;Settings!$B$20,"Weekend Worked",IF(R6&gt;0,"Late Arrival",IF(S6&gt;0,"Early Departure","Present")))))))</f>
        <v>Present</v>
      </c>
      <c r="U6" s="8" t="s">
        <v>246</v>
      </c>
      <c r="V6" s="8" t="s">
        <v>247</v>
      </c>
    </row>
    <row r="7" spans="1:22" x14ac:dyDescent="0.25">
      <c r="A7" s="22">
        <v>46268</v>
      </c>
      <c r="B7" s="8" t="s">
        <v>158</v>
      </c>
      <c r="C7" s="3" t="str">
        <f>IFERROR(INDEX(tblEmployees[Employee Name],MATCH(B7,tblEmployees[Employee ID],0)),"")</f>
        <v>Amelia Carter</v>
      </c>
      <c r="D7" s="3" t="str">
        <f>IFERROR(INDEX(tblEmployees[Department],MATCH(B7,tblEmployees[Employee ID],0)),"")</f>
        <v>Sales</v>
      </c>
      <c r="E7" s="8" t="s">
        <v>169</v>
      </c>
      <c r="F7" s="23">
        <v>0.33333333333333298</v>
      </c>
      <c r="G7" s="23">
        <v>0.70833333333333304</v>
      </c>
      <c r="H7" s="23">
        <v>0.34722222222222199</v>
      </c>
      <c r="I7" s="23">
        <v>0.70833333333333304</v>
      </c>
      <c r="J7" s="23">
        <v>0.5</v>
      </c>
      <c r="K7" s="23">
        <v>0.54166666666666696</v>
      </c>
      <c r="L7" s="24">
        <f>IF(AND(J7&lt;&gt;"",K7&lt;&gt;""),IF(K7&gt;=J7,(K7-J7)*24,(K7+1-J7)*24),IF(AND(H7&lt;&gt;"",I7&lt;&gt;""),Settings!$B$23,0))</f>
        <v>1.0000000000000071</v>
      </c>
      <c r="M7" s="24">
        <f t="shared" si="0"/>
        <v>8.6666666666666643</v>
      </c>
      <c r="N7" s="24">
        <f>IF(M7="","",IF(COUNTIFS(tblHolidays[Holiday Date],A7)&gt;0,0,IF(WEEKDAY(A7,2)&gt;Settings!$B$20,0,MIN(MAX(M7-L7,0),Settings!$B$25))))</f>
        <v>7.6666666666666572</v>
      </c>
      <c r="O7" s="24">
        <f>IF(M7="","",IF(COUNTIFS(tblHolidays[Holiday Date],A7)&gt;0,0,IF(WEEKDAY(A7,2)&gt;Settings!$B$20,0,MAX(MAX(M7-L7,0)-Settings!$B$25,0))))</f>
        <v>0</v>
      </c>
      <c r="P7" s="24">
        <f>IF(M7="","",IF(COUNTIFS(tblHolidays[Holiday Date],A7)&gt;0,0,IF(WEEKDAY(A7,2)&gt;Settings!$B$20,MAX(M7-L7,0),0)))</f>
        <v>0</v>
      </c>
      <c r="Q7" s="24">
        <f>IF(M7="","",IF(COUNTIFS(tblHolidays[Holiday Date],A7)&gt;0,MAX(M7-L7,0),0))</f>
        <v>0</v>
      </c>
      <c r="R7" s="25">
        <f>IF(OR(H7="",F7=""),0,MAX((H7-F7)*1440-Settings!$B$24,0))</f>
        <v>10.000000000000171</v>
      </c>
      <c r="S7" s="25">
        <f t="shared" si="1"/>
        <v>0</v>
      </c>
      <c r="T7" s="3" t="str">
        <f>IF(B7="","",IF(H7="","Missing Clock In",IF(I7="","Missing Clock Out",IF(COUNTIFS(tblHolidays[Holiday Date],A7)&gt;0,"Holiday Worked",IF(WEEKDAY(A7,2)&gt;Settings!$B$20,"Weekend Worked",IF(R7&gt;0,"Late Arrival",IF(S7&gt;0,"Early Departure","Present")))))))</f>
        <v>Late Arrival</v>
      </c>
      <c r="U7" s="8" t="s">
        <v>246</v>
      </c>
      <c r="V7" s="8" t="s">
        <v>249</v>
      </c>
    </row>
    <row r="8" spans="1:22" x14ac:dyDescent="0.25">
      <c r="A8" s="22">
        <v>46269</v>
      </c>
      <c r="B8" s="8" t="s">
        <v>158</v>
      </c>
      <c r="C8" s="3" t="str">
        <f>IFERROR(INDEX(tblEmployees[Employee Name],MATCH(B8,tblEmployees[Employee ID],0)),"")</f>
        <v>Amelia Carter</v>
      </c>
      <c r="D8" s="3" t="str">
        <f>IFERROR(INDEX(tblEmployees[Department],MATCH(B8,tblEmployees[Employee ID],0)),"")</f>
        <v>Sales</v>
      </c>
      <c r="E8" s="8" t="s">
        <v>169</v>
      </c>
      <c r="F8" s="23">
        <v>0.33333333333333298</v>
      </c>
      <c r="G8" s="23">
        <v>0.70833333333333304</v>
      </c>
      <c r="H8" s="23">
        <v>0.33333333333333298</v>
      </c>
      <c r="I8" s="23">
        <v>0.79166666666666696</v>
      </c>
      <c r="J8" s="23">
        <v>0.5</v>
      </c>
      <c r="K8" s="23">
        <v>0.54166666666666696</v>
      </c>
      <c r="L8" s="24">
        <f>IF(AND(J8&lt;&gt;"",K8&lt;&gt;""),IF(K8&gt;=J8,(K8-J8)*24,(K8+1-J8)*24),IF(AND(H8&lt;&gt;"",I8&lt;&gt;""),Settings!$B$23,0))</f>
        <v>1.0000000000000071</v>
      </c>
      <c r="M8" s="24">
        <f t="shared" si="0"/>
        <v>11.000000000000016</v>
      </c>
      <c r="N8" s="24">
        <f>IF(M8="","",IF(COUNTIFS(tblHolidays[Holiday Date],A8)&gt;0,0,IF(WEEKDAY(A8,2)&gt;Settings!$B$20,0,MIN(MAX(M8-L8,0),Settings!$B$25))))</f>
        <v>8</v>
      </c>
      <c r="O8" s="24">
        <f>IF(M8="","",IF(COUNTIFS(tblHolidays[Holiday Date],A8)&gt;0,0,IF(WEEKDAY(A8,2)&gt;Settings!$B$20,0,MAX(MAX(M8-L8,0)-Settings!$B$25,0))))</f>
        <v>2.0000000000000089</v>
      </c>
      <c r="P8" s="24">
        <f>IF(M8="","",IF(COUNTIFS(tblHolidays[Holiday Date],A8)&gt;0,0,IF(WEEKDAY(A8,2)&gt;Settings!$B$20,MAX(M8-L8,0),0)))</f>
        <v>0</v>
      </c>
      <c r="Q8" s="24">
        <f>IF(M8="","",IF(COUNTIFS(tblHolidays[Holiday Date],A8)&gt;0,MAX(M8-L8,0),0))</f>
        <v>0</v>
      </c>
      <c r="R8" s="25">
        <f>IF(OR(H8="",F8=""),0,MAX((H8-F8)*1440-Settings!$B$24,0))</f>
        <v>0</v>
      </c>
      <c r="S8" s="25">
        <f t="shared" si="1"/>
        <v>0</v>
      </c>
      <c r="T8" s="3" t="str">
        <f>IF(B8="","",IF(H8="","Missing Clock In",IF(I8="","Missing Clock Out",IF(COUNTIFS(tblHolidays[Holiday Date],A8)&gt;0,"Holiday Worked",IF(WEEKDAY(A8,2)&gt;Settings!$B$20,"Weekend Worked",IF(R8&gt;0,"Late Arrival",IF(S8&gt;0,"Early Departure","Present")))))))</f>
        <v>Present</v>
      </c>
      <c r="U8" s="8" t="s">
        <v>246</v>
      </c>
      <c r="V8" s="8" t="s">
        <v>250</v>
      </c>
    </row>
    <row r="9" spans="1:22" x14ac:dyDescent="0.25">
      <c r="A9" s="22">
        <v>46266</v>
      </c>
      <c r="B9" s="8" t="s">
        <v>170</v>
      </c>
      <c r="C9" s="3" t="str">
        <f>IFERROR(INDEX(tblEmployees[Employee Name],MATCH(B9,tblEmployees[Employee ID],0)),"")</f>
        <v>Brian Osei</v>
      </c>
      <c r="D9" s="3" t="str">
        <f>IFERROR(INDEX(tblEmployees[Department],MATCH(B9,tblEmployees[Employee ID],0)),"")</f>
        <v>Operations</v>
      </c>
      <c r="E9" s="8" t="s">
        <v>169</v>
      </c>
      <c r="F9" s="23">
        <v>0.33333333333333298</v>
      </c>
      <c r="G9" s="23">
        <v>0.70833333333333304</v>
      </c>
      <c r="H9" s="23">
        <v>0.33333333333333298</v>
      </c>
      <c r="I9" s="23">
        <v>0.70833333333333304</v>
      </c>
      <c r="J9" s="23">
        <v>0.5</v>
      </c>
      <c r="K9" s="23">
        <v>0.54166666666666696</v>
      </c>
      <c r="L9" s="24">
        <f>IF(AND(J9&lt;&gt;"",K9&lt;&gt;""),IF(K9&gt;=J9,(K9-J9)*24,(K9+1-J9)*24),IF(AND(H9&lt;&gt;"",I9&lt;&gt;""),Settings!$B$23,0))</f>
        <v>1.0000000000000071</v>
      </c>
      <c r="M9" s="24">
        <f t="shared" si="0"/>
        <v>9.0000000000000018</v>
      </c>
      <c r="N9" s="24">
        <f>IF(M9="","",IF(COUNTIFS(tblHolidays[Holiday Date],A9)&gt;0,0,IF(WEEKDAY(A9,2)&gt;Settings!$B$20,0,MIN(MAX(M9-L9,0),Settings!$B$25))))</f>
        <v>7.9999999999999947</v>
      </c>
      <c r="O9" s="24">
        <f>IF(M9="","",IF(COUNTIFS(tblHolidays[Holiday Date],A9)&gt;0,0,IF(WEEKDAY(A9,2)&gt;Settings!$B$20,0,MAX(MAX(M9-L9,0)-Settings!$B$25,0))))</f>
        <v>0</v>
      </c>
      <c r="P9" s="24">
        <f>IF(M9="","",IF(COUNTIFS(tblHolidays[Holiday Date],A9)&gt;0,0,IF(WEEKDAY(A9,2)&gt;Settings!$B$20,MAX(M9-L9,0),0)))</f>
        <v>0</v>
      </c>
      <c r="Q9" s="24">
        <f>IF(M9="","",IF(COUNTIFS(tblHolidays[Holiday Date],A9)&gt;0,MAX(M9-L9,0),0))</f>
        <v>0</v>
      </c>
      <c r="R9" s="25">
        <f>IF(OR(H9="",F9=""),0,MAX((H9-F9)*1440-Settings!$B$24,0))</f>
        <v>0</v>
      </c>
      <c r="S9" s="25">
        <f t="shared" si="1"/>
        <v>0</v>
      </c>
      <c r="T9" s="3" t="str">
        <f>IF(B9="","",IF(H9="","Missing Clock In",IF(I9="","Missing Clock Out",IF(COUNTIFS(tblHolidays[Holiday Date],A9)&gt;0,"Holiday Worked",IF(WEEKDAY(A9,2)&gt;Settings!$B$20,"Weekend Worked",IF(R9&gt;0,"Late Arrival",IF(S9&gt;0,"Early Departure","Present")))))))</f>
        <v>Present</v>
      </c>
      <c r="U9" s="8" t="s">
        <v>246</v>
      </c>
      <c r="V9" s="8" t="s">
        <v>247</v>
      </c>
    </row>
    <row r="10" spans="1:22" x14ac:dyDescent="0.25">
      <c r="A10" s="22">
        <v>46267</v>
      </c>
      <c r="B10" s="8" t="s">
        <v>170</v>
      </c>
      <c r="C10" s="3" t="str">
        <f>IFERROR(INDEX(tblEmployees[Employee Name],MATCH(B10,tblEmployees[Employee ID],0)),"")</f>
        <v>Brian Osei</v>
      </c>
      <c r="D10" s="3" t="str">
        <f>IFERROR(INDEX(tblEmployees[Department],MATCH(B10,tblEmployees[Employee ID],0)),"")</f>
        <v>Operations</v>
      </c>
      <c r="E10" s="8" t="s">
        <v>169</v>
      </c>
      <c r="F10" s="23">
        <v>0.33333333333333298</v>
      </c>
      <c r="G10" s="23">
        <v>0.70833333333333304</v>
      </c>
      <c r="H10" s="23">
        <v>0.33333333333333298</v>
      </c>
      <c r="I10" s="23">
        <v>0.70833333333333304</v>
      </c>
      <c r="J10" s="23">
        <v>0.5</v>
      </c>
      <c r="K10" s="23">
        <v>0.54166666666666696</v>
      </c>
      <c r="L10" s="24">
        <f>IF(AND(J10&lt;&gt;"",K10&lt;&gt;""),IF(K10&gt;=J10,(K10-J10)*24,(K10+1-J10)*24),IF(AND(H10&lt;&gt;"",I10&lt;&gt;""),Settings!$B$23,0))</f>
        <v>1.0000000000000071</v>
      </c>
      <c r="M10" s="24">
        <f t="shared" si="0"/>
        <v>9.0000000000000018</v>
      </c>
      <c r="N10" s="24">
        <f>IF(M10="","",IF(COUNTIFS(tblHolidays[Holiday Date],A10)&gt;0,0,IF(WEEKDAY(A10,2)&gt;Settings!$B$20,0,MIN(MAX(M10-L10,0),Settings!$B$25))))</f>
        <v>7.9999999999999947</v>
      </c>
      <c r="O10" s="24">
        <f>IF(M10="","",IF(COUNTIFS(tblHolidays[Holiday Date],A10)&gt;0,0,IF(WEEKDAY(A10,2)&gt;Settings!$B$20,0,MAX(MAX(M10-L10,0)-Settings!$B$25,0))))</f>
        <v>0</v>
      </c>
      <c r="P10" s="24">
        <f>IF(M10="","",IF(COUNTIFS(tblHolidays[Holiday Date],A10)&gt;0,0,IF(WEEKDAY(A10,2)&gt;Settings!$B$20,MAX(M10-L10,0),0)))</f>
        <v>0</v>
      </c>
      <c r="Q10" s="24">
        <f>IF(M10="","",IF(COUNTIFS(tblHolidays[Holiday Date],A10)&gt;0,MAX(M10-L10,0),0))</f>
        <v>0</v>
      </c>
      <c r="R10" s="25">
        <f>IF(OR(H10="",F10=""),0,MAX((H10-F10)*1440-Settings!$B$24,0))</f>
        <v>0</v>
      </c>
      <c r="S10" s="25">
        <f t="shared" si="1"/>
        <v>0</v>
      </c>
      <c r="T10" s="3" t="str">
        <f>IF(B10="","",IF(H10="","Missing Clock In",IF(I10="","Missing Clock Out",IF(COUNTIFS(tblHolidays[Holiday Date],A10)&gt;0,"Holiday Worked",IF(WEEKDAY(A10,2)&gt;Settings!$B$20,"Weekend Worked",IF(R10&gt;0,"Late Arrival",IF(S10&gt;0,"Early Departure","Present")))))))</f>
        <v>Present</v>
      </c>
      <c r="U10" s="8" t="s">
        <v>246</v>
      </c>
      <c r="V10" s="8" t="s">
        <v>247</v>
      </c>
    </row>
    <row r="11" spans="1:22" x14ac:dyDescent="0.25">
      <c r="A11" s="22">
        <v>46272</v>
      </c>
      <c r="B11" s="8" t="s">
        <v>170</v>
      </c>
      <c r="C11" s="3" t="str">
        <f>IFERROR(INDEX(tblEmployees[Employee Name],MATCH(B11,tblEmployees[Employee ID],0)),"")</f>
        <v>Brian Osei</v>
      </c>
      <c r="D11" s="3" t="str">
        <f>IFERROR(INDEX(tblEmployees[Department],MATCH(B11,tblEmployees[Employee ID],0)),"")</f>
        <v>Operations</v>
      </c>
      <c r="E11" s="8" t="s">
        <v>169</v>
      </c>
      <c r="F11" s="23">
        <v>0.33333333333333298</v>
      </c>
      <c r="G11" s="23">
        <v>0.70833333333333304</v>
      </c>
      <c r="H11" s="23">
        <v>0.33333333333333298</v>
      </c>
      <c r="I11" s="23">
        <v>0.58333333333333304</v>
      </c>
      <c r="J11" s="23"/>
      <c r="K11" s="23"/>
      <c r="L11" s="24">
        <f>IF(AND(J11&lt;&gt;"",K11&lt;&gt;""),IF(K11&gt;=J11,(K11-J11)*24,(K11+1-J11)*24),IF(AND(H11&lt;&gt;"",I11&lt;&gt;""),Settings!$B$23,0))</f>
        <v>1</v>
      </c>
      <c r="M11" s="24">
        <f t="shared" si="0"/>
        <v>6.0000000000000018</v>
      </c>
      <c r="N11" s="24">
        <f>IF(M11="","",IF(COUNTIFS(tblHolidays[Holiday Date],A11)&gt;0,0,IF(WEEKDAY(A11,2)&gt;Settings!$B$20,0,MIN(MAX(M11-L11,0),Settings!$B$25))))</f>
        <v>0</v>
      </c>
      <c r="O11" s="24">
        <f>IF(M11="","",IF(COUNTIFS(tblHolidays[Holiday Date],A11)&gt;0,0,IF(WEEKDAY(A11,2)&gt;Settings!$B$20,0,MAX(MAX(M11-L11,0)-Settings!$B$25,0))))</f>
        <v>0</v>
      </c>
      <c r="P11" s="24">
        <f>IF(M11="","",IF(COUNTIFS(tblHolidays[Holiday Date],A11)&gt;0,0,IF(WEEKDAY(A11,2)&gt;Settings!$B$20,MAX(M11-L11,0),0)))</f>
        <v>0</v>
      </c>
      <c r="Q11" s="24">
        <f>IF(M11="","",IF(COUNTIFS(tblHolidays[Holiday Date],A11)&gt;0,MAX(M11-L11,0),0))</f>
        <v>5.0000000000000018</v>
      </c>
      <c r="R11" s="25">
        <f>IF(OR(H11="",F11=""),0,MAX((H11-F11)*1440-Settings!$B$24,0))</f>
        <v>0</v>
      </c>
      <c r="S11" s="25">
        <f t="shared" si="1"/>
        <v>180</v>
      </c>
      <c r="T11" s="3" t="str">
        <f>IF(B11="","",IF(H11="","Missing Clock In",IF(I11="","Missing Clock Out",IF(COUNTIFS(tblHolidays[Holiday Date],A11)&gt;0,"Holiday Worked",IF(WEEKDAY(A11,2)&gt;Settings!$B$20,"Weekend Worked",IF(R11&gt;0,"Late Arrival",IF(S11&gt;0,"Early Departure","Present")))))))</f>
        <v>Holiday Worked</v>
      </c>
      <c r="U11" s="8" t="s">
        <v>246</v>
      </c>
      <c r="V11" s="8" t="s">
        <v>251</v>
      </c>
    </row>
    <row r="12" spans="1:22" x14ac:dyDescent="0.25">
      <c r="A12" s="22">
        <v>46277</v>
      </c>
      <c r="B12" s="8" t="s">
        <v>170</v>
      </c>
      <c r="C12" s="3" t="str">
        <f>IFERROR(INDEX(tblEmployees[Employee Name],MATCH(B12,tblEmployees[Employee ID],0)),"")</f>
        <v>Brian Osei</v>
      </c>
      <c r="D12" s="3" t="str">
        <f>IFERROR(INDEX(tblEmployees[Department],MATCH(B12,tblEmployees[Employee ID],0)),"")</f>
        <v>Operations</v>
      </c>
      <c r="E12" s="8" t="s">
        <v>169</v>
      </c>
      <c r="F12" s="23">
        <v>0.33333333333333298</v>
      </c>
      <c r="G12" s="23">
        <v>0.70833333333333304</v>
      </c>
      <c r="H12" s="23">
        <v>0.33333333333333298</v>
      </c>
      <c r="I12" s="23">
        <v>0.54166666666666696</v>
      </c>
      <c r="J12" s="23"/>
      <c r="K12" s="23"/>
      <c r="L12" s="24">
        <f>IF(AND(J12&lt;&gt;"",K12&lt;&gt;""),IF(K12&gt;=J12,(K12-J12)*24,(K12+1-J12)*24),IF(AND(H12&lt;&gt;"",I12&lt;&gt;""),Settings!$B$23,0))</f>
        <v>1</v>
      </c>
      <c r="M12" s="24">
        <f t="shared" si="0"/>
        <v>5.000000000000016</v>
      </c>
      <c r="N12" s="24">
        <f>IF(M12="","",IF(COUNTIFS(tblHolidays[Holiday Date],A12)&gt;0,0,IF(WEEKDAY(A12,2)&gt;Settings!$B$20,0,MIN(MAX(M12-L12,0),Settings!$B$25))))</f>
        <v>0</v>
      </c>
      <c r="O12" s="24">
        <f>IF(M12="","",IF(COUNTIFS(tblHolidays[Holiday Date],A12)&gt;0,0,IF(WEEKDAY(A12,2)&gt;Settings!$B$20,0,MAX(MAX(M12-L12,0)-Settings!$B$25,0))))</f>
        <v>0</v>
      </c>
      <c r="P12" s="24">
        <f>IF(M12="","",IF(COUNTIFS(tblHolidays[Holiday Date],A12)&gt;0,0,IF(WEEKDAY(A12,2)&gt;Settings!$B$20,MAX(M12-L12,0),0)))</f>
        <v>4.000000000000016</v>
      </c>
      <c r="Q12" s="24">
        <f>IF(M12="","",IF(COUNTIFS(tblHolidays[Holiday Date],A12)&gt;0,MAX(M12-L12,0),0))</f>
        <v>0</v>
      </c>
      <c r="R12" s="25">
        <f>IF(OR(H12="",F12=""),0,MAX((H12-F12)*1440-Settings!$B$24,0))</f>
        <v>0</v>
      </c>
      <c r="S12" s="25">
        <f t="shared" si="1"/>
        <v>239.99999999999915</v>
      </c>
      <c r="T12" s="3" t="str">
        <f>IF(B12="","",IF(H12="","Missing Clock In",IF(I12="","Missing Clock Out",IF(COUNTIFS(tblHolidays[Holiday Date],A12)&gt;0,"Holiday Worked",IF(WEEKDAY(A12,2)&gt;Settings!$B$20,"Weekend Worked",IF(R12&gt;0,"Late Arrival",IF(S12&gt;0,"Early Departure","Present")))))))</f>
        <v>Weekend Worked</v>
      </c>
      <c r="U12" s="8" t="s">
        <v>246</v>
      </c>
      <c r="V12" s="8" t="s">
        <v>252</v>
      </c>
    </row>
    <row r="13" spans="1:22" x14ac:dyDescent="0.25">
      <c r="A13" s="22">
        <v>46266</v>
      </c>
      <c r="B13" s="8" t="s">
        <v>178</v>
      </c>
      <c r="C13" s="3" t="str">
        <f>IFERROR(INDEX(tblEmployees[Employee Name],MATCH(B13,tblEmployees[Employee ID],0)),"")</f>
        <v>Carla Mendes</v>
      </c>
      <c r="D13" s="3" t="str">
        <f>IFERROR(INDEX(tblEmployees[Department],MATCH(B13,tblEmployees[Employee ID],0)),"")</f>
        <v>Finance</v>
      </c>
      <c r="E13" s="8" t="s">
        <v>169</v>
      </c>
      <c r="F13" s="23">
        <v>0.33333333333333298</v>
      </c>
      <c r="G13" s="23">
        <v>0.70833333333333304</v>
      </c>
      <c r="H13" s="23">
        <v>0.33333333333333298</v>
      </c>
      <c r="I13" s="23">
        <v>0.70833333333333304</v>
      </c>
      <c r="J13" s="23">
        <v>0.5</v>
      </c>
      <c r="K13" s="23">
        <v>0.54166666666666696</v>
      </c>
      <c r="L13" s="24">
        <f>IF(AND(J13&lt;&gt;"",K13&lt;&gt;""),IF(K13&gt;=J13,(K13-J13)*24,(K13+1-J13)*24),IF(AND(H13&lt;&gt;"",I13&lt;&gt;""),Settings!$B$23,0))</f>
        <v>1.0000000000000071</v>
      </c>
      <c r="M13" s="24">
        <f t="shared" si="0"/>
        <v>9.0000000000000018</v>
      </c>
      <c r="N13" s="24">
        <f>IF(M13="","",IF(COUNTIFS(tblHolidays[Holiday Date],A13)&gt;0,0,IF(WEEKDAY(A13,2)&gt;Settings!$B$20,0,MIN(MAX(M13-L13,0),Settings!$B$25))))</f>
        <v>7.9999999999999947</v>
      </c>
      <c r="O13" s="24">
        <f>IF(M13="","",IF(COUNTIFS(tblHolidays[Holiday Date],A13)&gt;0,0,IF(WEEKDAY(A13,2)&gt;Settings!$B$20,0,MAX(MAX(M13-L13,0)-Settings!$B$25,0))))</f>
        <v>0</v>
      </c>
      <c r="P13" s="24">
        <f>IF(M13="","",IF(COUNTIFS(tblHolidays[Holiday Date],A13)&gt;0,0,IF(WEEKDAY(A13,2)&gt;Settings!$B$20,MAX(M13-L13,0),0)))</f>
        <v>0</v>
      </c>
      <c r="Q13" s="24">
        <f>IF(M13="","",IF(COUNTIFS(tblHolidays[Holiday Date],A13)&gt;0,MAX(M13-L13,0),0))</f>
        <v>0</v>
      </c>
      <c r="R13" s="25">
        <f>IF(OR(H13="",F13=""),0,MAX((H13-F13)*1440-Settings!$B$24,0))</f>
        <v>0</v>
      </c>
      <c r="S13" s="25">
        <f t="shared" si="1"/>
        <v>0</v>
      </c>
      <c r="T13" s="3" t="str">
        <f>IF(B13="","",IF(H13="","Missing Clock In",IF(I13="","Missing Clock Out",IF(COUNTIFS(tblHolidays[Holiday Date],A13)&gt;0,"Holiday Worked",IF(WEEKDAY(A13,2)&gt;Settings!$B$20,"Weekend Worked",IF(R13&gt;0,"Late Arrival",IF(S13&gt;0,"Early Departure","Present")))))))</f>
        <v>Present</v>
      </c>
      <c r="U13" s="8" t="s">
        <v>246</v>
      </c>
      <c r="V13" s="8" t="s">
        <v>247</v>
      </c>
    </row>
    <row r="14" spans="1:22" x14ac:dyDescent="0.25">
      <c r="A14" s="22">
        <v>46267</v>
      </c>
      <c r="B14" s="8" t="s">
        <v>178</v>
      </c>
      <c r="C14" s="3" t="str">
        <f>IFERROR(INDEX(tblEmployees[Employee Name],MATCH(B14,tblEmployees[Employee ID],0)),"")</f>
        <v>Carla Mendes</v>
      </c>
      <c r="D14" s="3" t="str">
        <f>IFERROR(INDEX(tblEmployees[Department],MATCH(B14,tblEmployees[Employee ID],0)),"")</f>
        <v>Finance</v>
      </c>
      <c r="E14" s="8" t="s">
        <v>169</v>
      </c>
      <c r="F14" s="23">
        <v>0.33333333333333298</v>
      </c>
      <c r="G14" s="23">
        <v>0.70833333333333304</v>
      </c>
      <c r="H14" s="23">
        <v>0.33333333333333298</v>
      </c>
      <c r="I14" s="23">
        <v>0.70833333333333304</v>
      </c>
      <c r="J14" s="23">
        <v>0.5</v>
      </c>
      <c r="K14" s="23">
        <v>0.54166666666666696</v>
      </c>
      <c r="L14" s="24">
        <f>IF(AND(J14&lt;&gt;"",K14&lt;&gt;""),IF(K14&gt;=J14,(K14-J14)*24,(K14+1-J14)*24),IF(AND(H14&lt;&gt;"",I14&lt;&gt;""),Settings!$B$23,0))</f>
        <v>1.0000000000000071</v>
      </c>
      <c r="M14" s="24">
        <f t="shared" si="0"/>
        <v>9.0000000000000018</v>
      </c>
      <c r="N14" s="24">
        <f>IF(M14="","",IF(COUNTIFS(tblHolidays[Holiday Date],A14)&gt;0,0,IF(WEEKDAY(A14,2)&gt;Settings!$B$20,0,MIN(MAX(M14-L14,0),Settings!$B$25))))</f>
        <v>7.9999999999999947</v>
      </c>
      <c r="O14" s="24">
        <f>IF(M14="","",IF(COUNTIFS(tblHolidays[Holiday Date],A14)&gt;0,0,IF(WEEKDAY(A14,2)&gt;Settings!$B$20,0,MAX(MAX(M14-L14,0)-Settings!$B$25,0))))</f>
        <v>0</v>
      </c>
      <c r="P14" s="24">
        <f>IF(M14="","",IF(COUNTIFS(tblHolidays[Holiday Date],A14)&gt;0,0,IF(WEEKDAY(A14,2)&gt;Settings!$B$20,MAX(M14-L14,0),0)))</f>
        <v>0</v>
      </c>
      <c r="Q14" s="24">
        <f>IF(M14="","",IF(COUNTIFS(tblHolidays[Holiday Date],A14)&gt;0,MAX(M14-L14,0),0))</f>
        <v>0</v>
      </c>
      <c r="R14" s="25">
        <f>IF(OR(H14="",F14=""),0,MAX((H14-F14)*1440-Settings!$B$24,0))</f>
        <v>0</v>
      </c>
      <c r="S14" s="25">
        <f t="shared" si="1"/>
        <v>0</v>
      </c>
      <c r="T14" s="3" t="str">
        <f>IF(B14="","",IF(H14="","Missing Clock In",IF(I14="","Missing Clock Out",IF(COUNTIFS(tblHolidays[Holiday Date],A14)&gt;0,"Holiday Worked",IF(WEEKDAY(A14,2)&gt;Settings!$B$20,"Weekend Worked",IF(R14&gt;0,"Late Arrival",IF(S14&gt;0,"Early Departure","Present")))))))</f>
        <v>Present</v>
      </c>
      <c r="U14" s="8" t="s">
        <v>246</v>
      </c>
      <c r="V14" s="8" t="s">
        <v>247</v>
      </c>
    </row>
    <row r="15" spans="1:22" x14ac:dyDescent="0.25">
      <c r="A15" s="22">
        <v>46268</v>
      </c>
      <c r="B15" s="8" t="s">
        <v>178</v>
      </c>
      <c r="C15" s="3" t="str">
        <f>IFERROR(INDEX(tblEmployees[Employee Name],MATCH(B15,tblEmployees[Employee ID],0)),"")</f>
        <v>Carla Mendes</v>
      </c>
      <c r="D15" s="3" t="str">
        <f>IFERROR(INDEX(tblEmployees[Department],MATCH(B15,tblEmployees[Employee ID],0)),"")</f>
        <v>Finance</v>
      </c>
      <c r="E15" s="8" t="s">
        <v>169</v>
      </c>
      <c r="F15" s="23">
        <v>0.33333333333333298</v>
      </c>
      <c r="G15" s="23">
        <v>0.70833333333333304</v>
      </c>
      <c r="H15" s="23">
        <v>0.33333333333333298</v>
      </c>
      <c r="I15" s="23">
        <v>0.70833333333333304</v>
      </c>
      <c r="J15" s="23">
        <v>0.5</v>
      </c>
      <c r="K15" s="23">
        <v>0.54166666666666696</v>
      </c>
      <c r="L15" s="24">
        <f>IF(AND(J15&lt;&gt;"",K15&lt;&gt;""),IF(K15&gt;=J15,(K15-J15)*24,(K15+1-J15)*24),IF(AND(H15&lt;&gt;"",I15&lt;&gt;""),Settings!$B$23,0))</f>
        <v>1.0000000000000071</v>
      </c>
      <c r="M15" s="24">
        <f t="shared" si="0"/>
        <v>9.0000000000000018</v>
      </c>
      <c r="N15" s="24">
        <f>IF(M15="","",IF(COUNTIFS(tblHolidays[Holiday Date],A15)&gt;0,0,IF(WEEKDAY(A15,2)&gt;Settings!$B$20,0,MIN(MAX(M15-L15,0),Settings!$B$25))))</f>
        <v>7.9999999999999947</v>
      </c>
      <c r="O15" s="24">
        <f>IF(M15="","",IF(COUNTIFS(tblHolidays[Holiday Date],A15)&gt;0,0,IF(WEEKDAY(A15,2)&gt;Settings!$B$20,0,MAX(MAX(M15-L15,0)-Settings!$B$25,0))))</f>
        <v>0</v>
      </c>
      <c r="P15" s="24">
        <f>IF(M15="","",IF(COUNTIFS(tblHolidays[Holiday Date],A15)&gt;0,0,IF(WEEKDAY(A15,2)&gt;Settings!$B$20,MAX(M15-L15,0),0)))</f>
        <v>0</v>
      </c>
      <c r="Q15" s="24">
        <f>IF(M15="","",IF(COUNTIFS(tblHolidays[Holiday Date],A15)&gt;0,MAX(M15-L15,0),0))</f>
        <v>0</v>
      </c>
      <c r="R15" s="25">
        <f>IF(OR(H15="",F15=""),0,MAX((H15-F15)*1440-Settings!$B$24,0))</f>
        <v>0</v>
      </c>
      <c r="S15" s="25">
        <f t="shared" si="1"/>
        <v>0</v>
      </c>
      <c r="T15" s="3" t="str">
        <f>IF(B15="","",IF(H15="","Missing Clock In",IF(I15="","Missing Clock Out",IF(COUNTIFS(tblHolidays[Holiday Date],A15)&gt;0,"Holiday Worked",IF(WEEKDAY(A15,2)&gt;Settings!$B$20,"Weekend Worked",IF(R15&gt;0,"Late Arrival",IF(S15&gt;0,"Early Departure","Present")))))))</f>
        <v>Present</v>
      </c>
      <c r="U15" s="8" t="s">
        <v>246</v>
      </c>
      <c r="V15" s="8" t="s">
        <v>247</v>
      </c>
    </row>
    <row r="16" spans="1:22" x14ac:dyDescent="0.25">
      <c r="A16" s="22">
        <v>46266</v>
      </c>
      <c r="B16" s="8" t="s">
        <v>185</v>
      </c>
      <c r="C16" s="3" t="str">
        <f>IFERROR(INDEX(tblEmployees[Employee Name],MATCH(B16,tblEmployees[Employee ID],0)),"")</f>
        <v>David Kim</v>
      </c>
      <c r="D16" s="3" t="str">
        <f>IFERROR(INDEX(tblEmployees[Department],MATCH(B16,tblEmployees[Employee ID],0)),"")</f>
        <v>IT &amp; Engineering</v>
      </c>
      <c r="E16" s="8" t="s">
        <v>169</v>
      </c>
      <c r="F16" s="23">
        <v>0.33333333333333298</v>
      </c>
      <c r="G16" s="23">
        <v>0.70833333333333304</v>
      </c>
      <c r="H16" s="23">
        <v>0.33333333333333298</v>
      </c>
      <c r="I16" s="23">
        <v>0.70833333333333304</v>
      </c>
      <c r="J16" s="23">
        <v>0.5</v>
      </c>
      <c r="K16" s="23">
        <v>0.54166666666666696</v>
      </c>
      <c r="L16" s="24">
        <f>IF(AND(J16&lt;&gt;"",K16&lt;&gt;""),IF(K16&gt;=J16,(K16-J16)*24,(K16+1-J16)*24),IF(AND(H16&lt;&gt;"",I16&lt;&gt;""),Settings!$B$23,0))</f>
        <v>1.0000000000000071</v>
      </c>
      <c r="M16" s="24">
        <f t="shared" si="0"/>
        <v>9.0000000000000018</v>
      </c>
      <c r="N16" s="24">
        <f>IF(M16="","",IF(COUNTIFS(tblHolidays[Holiday Date],A16)&gt;0,0,IF(WEEKDAY(A16,2)&gt;Settings!$B$20,0,MIN(MAX(M16-L16,0),Settings!$B$25))))</f>
        <v>7.9999999999999947</v>
      </c>
      <c r="O16" s="24">
        <f>IF(M16="","",IF(COUNTIFS(tblHolidays[Holiday Date],A16)&gt;0,0,IF(WEEKDAY(A16,2)&gt;Settings!$B$20,0,MAX(MAX(M16-L16,0)-Settings!$B$25,0))))</f>
        <v>0</v>
      </c>
      <c r="P16" s="24">
        <f>IF(M16="","",IF(COUNTIFS(tblHolidays[Holiday Date],A16)&gt;0,0,IF(WEEKDAY(A16,2)&gt;Settings!$B$20,MAX(M16-L16,0),0)))</f>
        <v>0</v>
      </c>
      <c r="Q16" s="24">
        <f>IF(M16="","",IF(COUNTIFS(tblHolidays[Holiday Date],A16)&gt;0,MAX(M16-L16,0),0))</f>
        <v>0</v>
      </c>
      <c r="R16" s="25">
        <f>IF(OR(H16="",F16=""),0,MAX((H16-F16)*1440-Settings!$B$24,0))</f>
        <v>0</v>
      </c>
      <c r="S16" s="25">
        <f t="shared" si="1"/>
        <v>0</v>
      </c>
      <c r="T16" s="3" t="str">
        <f>IF(B16="","",IF(H16="","Missing Clock In",IF(I16="","Missing Clock Out",IF(COUNTIFS(tblHolidays[Holiday Date],A16)&gt;0,"Holiday Worked",IF(WEEKDAY(A16,2)&gt;Settings!$B$20,"Weekend Worked",IF(R16&gt;0,"Late Arrival",IF(S16&gt;0,"Early Departure","Present")))))))</f>
        <v>Present</v>
      </c>
      <c r="U16" s="8" t="s">
        <v>246</v>
      </c>
      <c r="V16" s="8" t="s">
        <v>247</v>
      </c>
    </row>
    <row r="17" spans="1:22" x14ac:dyDescent="0.25">
      <c r="A17" s="22">
        <v>46267</v>
      </c>
      <c r="B17" s="8" t="s">
        <v>185</v>
      </c>
      <c r="C17" s="3" t="str">
        <f>IFERROR(INDEX(tblEmployees[Employee Name],MATCH(B17,tblEmployees[Employee ID],0)),"")</f>
        <v>David Kim</v>
      </c>
      <c r="D17" s="3" t="str">
        <f>IFERROR(INDEX(tblEmployees[Department],MATCH(B17,tblEmployees[Employee ID],0)),"")</f>
        <v>IT &amp; Engineering</v>
      </c>
      <c r="E17" s="8" t="s">
        <v>169</v>
      </c>
      <c r="F17" s="23">
        <v>0.33333333333333298</v>
      </c>
      <c r="G17" s="23">
        <v>0.70833333333333304</v>
      </c>
      <c r="H17" s="23">
        <v>0.33333333333333298</v>
      </c>
      <c r="I17" s="23"/>
      <c r="J17" s="23">
        <v>0.5</v>
      </c>
      <c r="K17" s="23">
        <v>0.54166666666666696</v>
      </c>
      <c r="L17" s="24">
        <f>IF(AND(J17&lt;&gt;"",K17&lt;&gt;""),IF(K17&gt;=J17,(K17-J17)*24,(K17+1-J17)*24),IF(AND(H17&lt;&gt;"",I17&lt;&gt;""),Settings!$B$23,0))</f>
        <v>1.0000000000000071</v>
      </c>
      <c r="M17" s="24" t="str">
        <f t="shared" si="0"/>
        <v/>
      </c>
      <c r="N17" s="24" t="str">
        <f>IF(M17="","",IF(COUNTIFS(tblHolidays[Holiday Date],A17)&gt;0,0,IF(WEEKDAY(A17,2)&gt;Settings!$B$20,0,MIN(MAX(M17-L17,0),Settings!$B$25))))</f>
        <v/>
      </c>
      <c r="O17" s="24" t="str">
        <f>IF(M17="","",IF(COUNTIFS(tblHolidays[Holiday Date],A17)&gt;0,0,IF(WEEKDAY(A17,2)&gt;Settings!$B$20,0,MAX(MAX(M17-L17,0)-Settings!$B$25,0))))</f>
        <v/>
      </c>
      <c r="P17" s="24" t="str">
        <f>IF(M17="","",IF(COUNTIFS(tblHolidays[Holiday Date],A17)&gt;0,0,IF(WEEKDAY(A17,2)&gt;Settings!$B$20,MAX(M17-L17,0),0)))</f>
        <v/>
      </c>
      <c r="Q17" s="24" t="str">
        <f>IF(M17="","",IF(COUNTIFS(tblHolidays[Holiday Date],A17)&gt;0,MAX(M17-L17,0),0))</f>
        <v/>
      </c>
      <c r="R17" s="25">
        <f>IF(OR(H17="",F17=""),0,MAX((H17-F17)*1440-Settings!$B$24,0))</f>
        <v>0</v>
      </c>
      <c r="S17" s="25">
        <f t="shared" si="1"/>
        <v>0</v>
      </c>
      <c r="T17" s="3" t="str">
        <f>IF(B17="","",IF(H17="","Missing Clock In",IF(I17="","Missing Clock Out",IF(COUNTIFS(tblHolidays[Holiday Date],A17)&gt;0,"Holiday Worked",IF(WEEKDAY(A17,2)&gt;Settings!$B$20,"Weekend Worked",IF(R17&gt;0,"Late Arrival",IF(S17&gt;0,"Early Departure","Present")))))))</f>
        <v>Missing Clock Out</v>
      </c>
      <c r="U17" s="8" t="s">
        <v>253</v>
      </c>
      <c r="V17" s="8" t="s">
        <v>254</v>
      </c>
    </row>
    <row r="18" spans="1:22" x14ac:dyDescent="0.25">
      <c r="A18" s="22">
        <v>46268</v>
      </c>
      <c r="B18" s="8" t="s">
        <v>185</v>
      </c>
      <c r="C18" s="3" t="str">
        <f>IFERROR(INDEX(tblEmployees[Employee Name],MATCH(B18,tblEmployees[Employee ID],0)),"")</f>
        <v>David Kim</v>
      </c>
      <c r="D18" s="3" t="str">
        <f>IFERROR(INDEX(tblEmployees[Department],MATCH(B18,tblEmployees[Employee ID],0)),"")</f>
        <v>IT &amp; Engineering</v>
      </c>
      <c r="E18" s="8" t="s">
        <v>169</v>
      </c>
      <c r="F18" s="23">
        <v>0.33333333333333298</v>
      </c>
      <c r="G18" s="23">
        <v>0.70833333333333304</v>
      </c>
      <c r="H18" s="23">
        <v>0.33333333333333298</v>
      </c>
      <c r="I18" s="23">
        <v>0.70833333333333304</v>
      </c>
      <c r="J18" s="23">
        <v>0.5</v>
      </c>
      <c r="K18" s="23">
        <v>0.54166666666666696</v>
      </c>
      <c r="L18" s="24">
        <f>IF(AND(J18&lt;&gt;"",K18&lt;&gt;""),IF(K18&gt;=J18,(K18-J18)*24,(K18+1-J18)*24),IF(AND(H18&lt;&gt;"",I18&lt;&gt;""),Settings!$B$23,0))</f>
        <v>1.0000000000000071</v>
      </c>
      <c r="M18" s="24">
        <f t="shared" si="0"/>
        <v>9.0000000000000018</v>
      </c>
      <c r="N18" s="24">
        <f>IF(M18="","",IF(COUNTIFS(tblHolidays[Holiday Date],A18)&gt;0,0,IF(WEEKDAY(A18,2)&gt;Settings!$B$20,0,MIN(MAX(M18-L18,0),Settings!$B$25))))</f>
        <v>7.9999999999999947</v>
      </c>
      <c r="O18" s="24">
        <f>IF(M18="","",IF(COUNTIFS(tblHolidays[Holiday Date],A18)&gt;0,0,IF(WEEKDAY(A18,2)&gt;Settings!$B$20,0,MAX(MAX(M18-L18,0)-Settings!$B$25,0))))</f>
        <v>0</v>
      </c>
      <c r="P18" s="24">
        <f>IF(M18="","",IF(COUNTIFS(tblHolidays[Holiday Date],A18)&gt;0,0,IF(WEEKDAY(A18,2)&gt;Settings!$B$20,MAX(M18-L18,0),0)))</f>
        <v>0</v>
      </c>
      <c r="Q18" s="24">
        <f>IF(M18="","",IF(COUNTIFS(tblHolidays[Holiday Date],A18)&gt;0,MAX(M18-L18,0),0))</f>
        <v>0</v>
      </c>
      <c r="R18" s="25">
        <f>IF(OR(H18="",F18=""),0,MAX((H18-F18)*1440-Settings!$B$24,0))</f>
        <v>0</v>
      </c>
      <c r="S18" s="25">
        <f t="shared" si="1"/>
        <v>0</v>
      </c>
      <c r="T18" s="3" t="str">
        <f>IF(B18="","",IF(H18="","Missing Clock In",IF(I18="","Missing Clock Out",IF(COUNTIFS(tblHolidays[Holiday Date],A18)&gt;0,"Holiday Worked",IF(WEEKDAY(A18,2)&gt;Settings!$B$20,"Weekend Worked",IF(R18&gt;0,"Late Arrival",IF(S18&gt;0,"Early Departure","Present")))))))</f>
        <v>Present</v>
      </c>
      <c r="U18" s="8" t="s">
        <v>246</v>
      </c>
      <c r="V18" s="8" t="s">
        <v>247</v>
      </c>
    </row>
    <row r="19" spans="1:22" x14ac:dyDescent="0.25">
      <c r="A19" s="22">
        <v>46266</v>
      </c>
      <c r="B19" s="8" t="s">
        <v>193</v>
      </c>
      <c r="C19" s="3" t="str">
        <f>IFERROR(INDEX(tblEmployees[Employee Name],MATCH(B19,tblEmployees[Employee ID],0)),"")</f>
        <v>Elena Petrova</v>
      </c>
      <c r="D19" s="3" t="str">
        <f>IFERROR(INDEX(tblEmployees[Department],MATCH(B19,tblEmployees[Employee ID],0)),"")</f>
        <v>Sales</v>
      </c>
      <c r="E19" s="8" t="s">
        <v>169</v>
      </c>
      <c r="F19" s="23">
        <v>0.33333333333333298</v>
      </c>
      <c r="G19" s="23">
        <v>0.70833333333333304</v>
      </c>
      <c r="H19" s="23">
        <v>0.33333333333333298</v>
      </c>
      <c r="I19" s="23">
        <v>0.70833333333333304</v>
      </c>
      <c r="J19" s="23">
        <v>0.5</v>
      </c>
      <c r="K19" s="23">
        <v>0.54166666666666696</v>
      </c>
      <c r="L19" s="24">
        <f>IF(AND(J19&lt;&gt;"",K19&lt;&gt;""),IF(K19&gt;=J19,(K19-J19)*24,(K19+1-J19)*24),IF(AND(H19&lt;&gt;"",I19&lt;&gt;""),Settings!$B$23,0))</f>
        <v>1.0000000000000071</v>
      </c>
      <c r="M19" s="24">
        <f t="shared" si="0"/>
        <v>9.0000000000000018</v>
      </c>
      <c r="N19" s="24">
        <f>IF(M19="","",IF(COUNTIFS(tblHolidays[Holiday Date],A19)&gt;0,0,IF(WEEKDAY(A19,2)&gt;Settings!$B$20,0,MIN(MAX(M19-L19,0),Settings!$B$25))))</f>
        <v>7.9999999999999947</v>
      </c>
      <c r="O19" s="24">
        <f>IF(M19="","",IF(COUNTIFS(tblHolidays[Holiday Date],A19)&gt;0,0,IF(WEEKDAY(A19,2)&gt;Settings!$B$20,0,MAX(MAX(M19-L19,0)-Settings!$B$25,0))))</f>
        <v>0</v>
      </c>
      <c r="P19" s="24">
        <f>IF(M19="","",IF(COUNTIFS(tblHolidays[Holiday Date],A19)&gt;0,0,IF(WEEKDAY(A19,2)&gt;Settings!$B$20,MAX(M19-L19,0),0)))</f>
        <v>0</v>
      </c>
      <c r="Q19" s="24">
        <f>IF(M19="","",IF(COUNTIFS(tblHolidays[Holiday Date],A19)&gt;0,MAX(M19-L19,0),0))</f>
        <v>0</v>
      </c>
      <c r="R19" s="25">
        <f>IF(OR(H19="",F19=""),0,MAX((H19-F19)*1440-Settings!$B$24,0))</f>
        <v>0</v>
      </c>
      <c r="S19" s="25">
        <f t="shared" si="1"/>
        <v>0</v>
      </c>
      <c r="T19" s="3" t="str">
        <f>IF(B19="","",IF(H19="","Missing Clock In",IF(I19="","Missing Clock Out",IF(COUNTIFS(tblHolidays[Holiday Date],A19)&gt;0,"Holiday Worked",IF(WEEKDAY(A19,2)&gt;Settings!$B$20,"Weekend Worked",IF(R19&gt;0,"Late Arrival",IF(S19&gt;0,"Early Departure","Present")))))))</f>
        <v>Present</v>
      </c>
      <c r="U19" s="8" t="s">
        <v>246</v>
      </c>
      <c r="V19" s="8" t="s">
        <v>247</v>
      </c>
    </row>
    <row r="20" spans="1:22" x14ac:dyDescent="0.25">
      <c r="A20" s="22">
        <v>46267</v>
      </c>
      <c r="B20" s="8" t="s">
        <v>193</v>
      </c>
      <c r="C20" s="3" t="str">
        <f>IFERROR(INDEX(tblEmployees[Employee Name],MATCH(B20,tblEmployees[Employee ID],0)),"")</f>
        <v>Elena Petrova</v>
      </c>
      <c r="D20" s="3" t="str">
        <f>IFERROR(INDEX(tblEmployees[Department],MATCH(B20,tblEmployees[Employee ID],0)),"")</f>
        <v>Sales</v>
      </c>
      <c r="E20" s="8" t="s">
        <v>169</v>
      </c>
      <c r="F20" s="23">
        <v>0.33333333333333298</v>
      </c>
      <c r="G20" s="23">
        <v>0.70833333333333304</v>
      </c>
      <c r="H20" s="23">
        <v>0.33333333333333298</v>
      </c>
      <c r="I20" s="23">
        <v>0.70833333333333304</v>
      </c>
      <c r="J20" s="23">
        <v>0.5</v>
      </c>
      <c r="K20" s="23">
        <v>0.54166666666666696</v>
      </c>
      <c r="L20" s="24">
        <f>IF(AND(J20&lt;&gt;"",K20&lt;&gt;""),IF(K20&gt;=J20,(K20-J20)*24,(K20+1-J20)*24),IF(AND(H20&lt;&gt;"",I20&lt;&gt;""),Settings!$B$23,0))</f>
        <v>1.0000000000000071</v>
      </c>
      <c r="M20" s="24">
        <f t="shared" si="0"/>
        <v>9.0000000000000018</v>
      </c>
      <c r="N20" s="24">
        <f>IF(M20="","",IF(COUNTIFS(tblHolidays[Holiday Date],A20)&gt;0,0,IF(WEEKDAY(A20,2)&gt;Settings!$B$20,0,MIN(MAX(M20-L20,0),Settings!$B$25))))</f>
        <v>7.9999999999999947</v>
      </c>
      <c r="O20" s="24">
        <f>IF(M20="","",IF(COUNTIFS(tblHolidays[Holiday Date],A20)&gt;0,0,IF(WEEKDAY(A20,2)&gt;Settings!$B$20,0,MAX(MAX(M20-L20,0)-Settings!$B$25,0))))</f>
        <v>0</v>
      </c>
      <c r="P20" s="24">
        <f>IF(M20="","",IF(COUNTIFS(tblHolidays[Holiday Date],A20)&gt;0,0,IF(WEEKDAY(A20,2)&gt;Settings!$B$20,MAX(M20-L20,0),0)))</f>
        <v>0</v>
      </c>
      <c r="Q20" s="24">
        <f>IF(M20="","",IF(COUNTIFS(tblHolidays[Holiday Date],A20)&gt;0,MAX(M20-L20,0),0))</f>
        <v>0</v>
      </c>
      <c r="R20" s="25">
        <f>IF(OR(H20="",F20=""),0,MAX((H20-F20)*1440-Settings!$B$24,0))</f>
        <v>0</v>
      </c>
      <c r="S20" s="25">
        <f t="shared" si="1"/>
        <v>0</v>
      </c>
      <c r="T20" s="3" t="str">
        <f>IF(B20="","",IF(H20="","Missing Clock In",IF(I20="","Missing Clock Out",IF(COUNTIFS(tblHolidays[Holiday Date],A20)&gt;0,"Holiday Worked",IF(WEEKDAY(A20,2)&gt;Settings!$B$20,"Weekend Worked",IF(R20&gt;0,"Late Arrival",IF(S20&gt;0,"Early Departure","Present")))))))</f>
        <v>Present</v>
      </c>
      <c r="U20" s="8" t="s">
        <v>246</v>
      </c>
      <c r="V20" s="8" t="s">
        <v>247</v>
      </c>
    </row>
    <row r="21" spans="1:22" x14ac:dyDescent="0.25">
      <c r="A21" s="22">
        <v>46281</v>
      </c>
      <c r="B21" s="8" t="s">
        <v>193</v>
      </c>
      <c r="C21" s="3" t="str">
        <f>IFERROR(INDEX(tblEmployees[Employee Name],MATCH(B21,tblEmployees[Employee ID],0)),"")</f>
        <v>Elena Petrova</v>
      </c>
      <c r="D21" s="3" t="str">
        <f>IFERROR(INDEX(tblEmployees[Department],MATCH(B21,tblEmployees[Employee ID],0)),"")</f>
        <v>Sales</v>
      </c>
      <c r="E21" s="8" t="s">
        <v>169</v>
      </c>
      <c r="F21" s="23">
        <v>0.33333333333333298</v>
      </c>
      <c r="G21" s="23">
        <v>0.70833333333333304</v>
      </c>
      <c r="H21" s="23">
        <v>0.33333333333333298</v>
      </c>
      <c r="I21" s="23">
        <v>0.70833333333333304</v>
      </c>
      <c r="J21" s="23">
        <v>0.5</v>
      </c>
      <c r="K21" s="23">
        <v>0.54166666666666696</v>
      </c>
      <c r="L21" s="24">
        <f>IF(AND(J21&lt;&gt;"",K21&lt;&gt;""),IF(K21&gt;=J21,(K21-J21)*24,(K21+1-J21)*24),IF(AND(H21&lt;&gt;"",I21&lt;&gt;""),Settings!$B$23,0))</f>
        <v>1.0000000000000071</v>
      </c>
      <c r="M21" s="24">
        <f t="shared" si="0"/>
        <v>9.0000000000000018</v>
      </c>
      <c r="N21" s="24">
        <f>IF(M21="","",IF(COUNTIFS(tblHolidays[Holiday Date],A21)&gt;0,0,IF(WEEKDAY(A21,2)&gt;Settings!$B$20,0,MIN(MAX(M21-L21,0),Settings!$B$25))))</f>
        <v>7.9999999999999947</v>
      </c>
      <c r="O21" s="24">
        <f>IF(M21="","",IF(COUNTIFS(tblHolidays[Holiday Date],A21)&gt;0,0,IF(WEEKDAY(A21,2)&gt;Settings!$B$20,0,MAX(MAX(M21-L21,0)-Settings!$B$25,0))))</f>
        <v>0</v>
      </c>
      <c r="P21" s="24">
        <f>IF(M21="","",IF(COUNTIFS(tblHolidays[Holiday Date],A21)&gt;0,0,IF(WEEKDAY(A21,2)&gt;Settings!$B$20,MAX(M21-L21,0),0)))</f>
        <v>0</v>
      </c>
      <c r="Q21" s="24">
        <f>IF(M21="","",IF(COUNTIFS(tblHolidays[Holiday Date],A21)&gt;0,MAX(M21-L21,0),0))</f>
        <v>0</v>
      </c>
      <c r="R21" s="25">
        <f>IF(OR(H21="",F21=""),0,MAX((H21-F21)*1440-Settings!$B$24,0))</f>
        <v>0</v>
      </c>
      <c r="S21" s="25">
        <f t="shared" si="1"/>
        <v>0</v>
      </c>
      <c r="T21" s="3" t="str">
        <f>IF(B21="","",IF(H21="","Missing Clock In",IF(I21="","Missing Clock Out",IF(COUNTIFS(tblHolidays[Holiday Date],A21)&gt;0,"Holiday Worked",IF(WEEKDAY(A21,2)&gt;Settings!$B$20,"Weekend Worked",IF(R21&gt;0,"Late Arrival",IF(S21&gt;0,"Early Departure","Present")))))))</f>
        <v>Present</v>
      </c>
      <c r="U21" s="8" t="s">
        <v>253</v>
      </c>
      <c r="V21" s="8" t="s">
        <v>255</v>
      </c>
    </row>
    <row r="22" spans="1:22" x14ac:dyDescent="0.25">
      <c r="A22" s="22">
        <v>46266</v>
      </c>
      <c r="B22" s="8" t="s">
        <v>198</v>
      </c>
      <c r="C22" s="3" t="str">
        <f>IFERROR(INDEX(tblEmployees[Employee Name],MATCH(B22,tblEmployees[Employee ID],0)),"")</f>
        <v>Farhan Ali</v>
      </c>
      <c r="D22" s="3" t="str">
        <f>IFERROR(INDEX(tblEmployees[Department],MATCH(B22,tblEmployees[Employee ID],0)),"")</f>
        <v>Operations</v>
      </c>
      <c r="E22" s="8" t="s">
        <v>203</v>
      </c>
      <c r="F22" s="23">
        <v>0.91666666666666696</v>
      </c>
      <c r="G22" s="23">
        <v>0.25</v>
      </c>
      <c r="H22" s="23">
        <v>0.91666666666666696</v>
      </c>
      <c r="I22" s="23">
        <v>0.26041666666666702</v>
      </c>
      <c r="J22" s="23">
        <v>8.3333333333333301E-2</v>
      </c>
      <c r="K22" s="23">
        <v>0.104166666666667</v>
      </c>
      <c r="L22" s="24">
        <f>IF(AND(J22&lt;&gt;"",K22&lt;&gt;""),IF(K22&gt;=J22,(K22-J22)*24,(K22+1-J22)*24),IF(AND(H22&lt;&gt;"",I22&lt;&gt;""),Settings!$B$23,0))</f>
        <v>0.50000000000000888</v>
      </c>
      <c r="M22" s="24">
        <f t="shared" si="0"/>
        <v>8.25</v>
      </c>
      <c r="N22" s="24">
        <f>IF(M22="","",IF(COUNTIFS(tblHolidays[Holiday Date],A22)&gt;0,0,IF(WEEKDAY(A22,2)&gt;Settings!$B$20,0,MIN(MAX(M22-L22,0),Settings!$B$25))))</f>
        <v>7.7499999999999911</v>
      </c>
      <c r="O22" s="24">
        <f>IF(M22="","",IF(COUNTIFS(tblHolidays[Holiday Date],A22)&gt;0,0,IF(WEEKDAY(A22,2)&gt;Settings!$B$20,0,MAX(MAX(M22-L22,0)-Settings!$B$25,0))))</f>
        <v>0</v>
      </c>
      <c r="P22" s="24">
        <f>IF(M22="","",IF(COUNTIFS(tblHolidays[Holiday Date],A22)&gt;0,0,IF(WEEKDAY(A22,2)&gt;Settings!$B$20,MAX(M22-L22,0),0)))</f>
        <v>0</v>
      </c>
      <c r="Q22" s="24">
        <f>IF(M22="","",IF(COUNTIFS(tblHolidays[Holiday Date],A22)&gt;0,MAX(M22-L22,0),0))</f>
        <v>0</v>
      </c>
      <c r="R22" s="25">
        <f>IF(OR(H22="",F22=""),0,MAX((H22-F22)*1440-Settings!$B$24,0))</f>
        <v>0</v>
      </c>
      <c r="S22" s="25">
        <f t="shared" si="1"/>
        <v>0</v>
      </c>
      <c r="T22" s="3" t="str">
        <f>IF(B22="","",IF(H22="","Missing Clock In",IF(I22="","Missing Clock Out",IF(COUNTIFS(tblHolidays[Holiday Date],A22)&gt;0,"Holiday Worked",IF(WEEKDAY(A22,2)&gt;Settings!$B$20,"Weekend Worked",IF(R22&gt;0,"Late Arrival",IF(S22&gt;0,"Early Departure","Present")))))))</f>
        <v>Present</v>
      </c>
      <c r="U22" s="8" t="s">
        <v>246</v>
      </c>
      <c r="V22" s="8" t="s">
        <v>256</v>
      </c>
    </row>
    <row r="23" spans="1:22" x14ac:dyDescent="0.25">
      <c r="A23" s="22">
        <v>46267</v>
      </c>
      <c r="B23" s="8" t="s">
        <v>198</v>
      </c>
      <c r="C23" s="3" t="str">
        <f>IFERROR(INDEX(tblEmployees[Employee Name],MATCH(B23,tblEmployees[Employee ID],0)),"")</f>
        <v>Farhan Ali</v>
      </c>
      <c r="D23" s="3" t="str">
        <f>IFERROR(INDEX(tblEmployees[Department],MATCH(B23,tblEmployees[Employee ID],0)),"")</f>
        <v>Operations</v>
      </c>
      <c r="E23" s="8" t="s">
        <v>203</v>
      </c>
      <c r="F23" s="23">
        <v>0.91666666666666696</v>
      </c>
      <c r="G23" s="23">
        <v>0.25</v>
      </c>
      <c r="H23" s="23">
        <v>0.92013888888888895</v>
      </c>
      <c r="I23" s="23">
        <v>0.25</v>
      </c>
      <c r="J23" s="23">
        <v>8.3333333333333301E-2</v>
      </c>
      <c r="K23" s="23">
        <v>0.104166666666667</v>
      </c>
      <c r="L23" s="24">
        <f>IF(AND(J23&lt;&gt;"",K23&lt;&gt;""),IF(K23&gt;=J23,(K23-J23)*24,(K23+1-J23)*24),IF(AND(H23&lt;&gt;"",I23&lt;&gt;""),Settings!$B$23,0))</f>
        <v>0.50000000000000888</v>
      </c>
      <c r="M23" s="24">
        <f t="shared" si="0"/>
        <v>7.9166666666666652</v>
      </c>
      <c r="N23" s="24">
        <f>IF(M23="","",IF(COUNTIFS(tblHolidays[Holiday Date],A23)&gt;0,0,IF(WEEKDAY(A23,2)&gt;Settings!$B$20,0,MIN(MAX(M23-L23,0),Settings!$B$25))))</f>
        <v>7.4166666666666563</v>
      </c>
      <c r="O23" s="24">
        <f>IF(M23="","",IF(COUNTIFS(tblHolidays[Holiday Date],A23)&gt;0,0,IF(WEEKDAY(A23,2)&gt;Settings!$B$20,0,MAX(MAX(M23-L23,0)-Settings!$B$25,0))))</f>
        <v>0</v>
      </c>
      <c r="P23" s="24">
        <f>IF(M23="","",IF(COUNTIFS(tblHolidays[Holiday Date],A23)&gt;0,0,IF(WEEKDAY(A23,2)&gt;Settings!$B$20,MAX(M23-L23,0),0)))</f>
        <v>0</v>
      </c>
      <c r="Q23" s="24">
        <f>IF(M23="","",IF(COUNTIFS(tblHolidays[Holiday Date],A23)&gt;0,MAX(M23-L23,0),0))</f>
        <v>0</v>
      </c>
      <c r="R23" s="25">
        <f>IF(OR(H23="",F23=""),0,MAX((H23-F23)*1440-Settings!$B$24,0))</f>
        <v>0</v>
      </c>
      <c r="S23" s="25">
        <f t="shared" si="1"/>
        <v>0</v>
      </c>
      <c r="T23" s="3" t="str">
        <f>IF(B23="","",IF(H23="","Missing Clock In",IF(I23="","Missing Clock Out",IF(COUNTIFS(tblHolidays[Holiday Date],A23)&gt;0,"Holiday Worked",IF(WEEKDAY(A23,2)&gt;Settings!$B$20,"Weekend Worked",IF(R23&gt;0,"Late Arrival",IF(S23&gt;0,"Early Departure","Present")))))))</f>
        <v>Present</v>
      </c>
      <c r="U23" s="8" t="s">
        <v>246</v>
      </c>
      <c r="V23" s="8" t="s">
        <v>256</v>
      </c>
    </row>
    <row r="24" spans="1:22" x14ac:dyDescent="0.25">
      <c r="A24" s="22">
        <v>46266</v>
      </c>
      <c r="B24" s="8" t="s">
        <v>205</v>
      </c>
      <c r="C24" s="3" t="str">
        <f>IFERROR(INDEX(tblEmployees[Employee Name],MATCH(B24,tblEmployees[Employee ID],0)),"")</f>
        <v>Grace Njoroge</v>
      </c>
      <c r="D24" s="3" t="str">
        <f>IFERROR(INDEX(tblEmployees[Department],MATCH(B24,tblEmployees[Employee ID],0)),"")</f>
        <v>Operations</v>
      </c>
      <c r="E24" s="8" t="s">
        <v>169</v>
      </c>
      <c r="F24" s="23">
        <v>0.33333333333333298</v>
      </c>
      <c r="G24" s="23">
        <v>0.70833333333333304</v>
      </c>
      <c r="H24" s="23">
        <v>0.33333333333333298</v>
      </c>
      <c r="I24" s="23">
        <v>0.70833333333333304</v>
      </c>
      <c r="J24" s="23">
        <v>0.5</v>
      </c>
      <c r="K24" s="23">
        <v>0.54166666666666696</v>
      </c>
      <c r="L24" s="24">
        <f>IF(AND(J24&lt;&gt;"",K24&lt;&gt;""),IF(K24&gt;=J24,(K24-J24)*24,(K24+1-J24)*24),IF(AND(H24&lt;&gt;"",I24&lt;&gt;""),Settings!$B$23,0))</f>
        <v>1.0000000000000071</v>
      </c>
      <c r="M24" s="24">
        <f t="shared" si="0"/>
        <v>9.0000000000000018</v>
      </c>
      <c r="N24" s="24">
        <f>IF(M24="","",IF(COUNTIFS(tblHolidays[Holiday Date],A24)&gt;0,0,IF(WEEKDAY(A24,2)&gt;Settings!$B$20,0,MIN(MAX(M24-L24,0),Settings!$B$25))))</f>
        <v>7.9999999999999947</v>
      </c>
      <c r="O24" s="24">
        <f>IF(M24="","",IF(COUNTIFS(tblHolidays[Holiday Date],A24)&gt;0,0,IF(WEEKDAY(A24,2)&gt;Settings!$B$20,0,MAX(MAX(M24-L24,0)-Settings!$B$25,0))))</f>
        <v>0</v>
      </c>
      <c r="P24" s="24">
        <f>IF(M24="","",IF(COUNTIFS(tblHolidays[Holiday Date],A24)&gt;0,0,IF(WEEKDAY(A24,2)&gt;Settings!$B$20,MAX(M24-L24,0),0)))</f>
        <v>0</v>
      </c>
      <c r="Q24" s="24">
        <f>IF(M24="","",IF(COUNTIFS(tblHolidays[Holiday Date],A24)&gt;0,MAX(M24-L24,0),0))</f>
        <v>0</v>
      </c>
      <c r="R24" s="25">
        <f>IF(OR(H24="",F24=""),0,MAX((H24-F24)*1440-Settings!$B$24,0))</f>
        <v>0</v>
      </c>
      <c r="S24" s="25">
        <f t="shared" si="1"/>
        <v>0</v>
      </c>
      <c r="T24" s="3" t="str">
        <f>IF(B24="","",IF(H24="","Missing Clock In",IF(I24="","Missing Clock Out",IF(COUNTIFS(tblHolidays[Holiday Date],A24)&gt;0,"Holiday Worked",IF(WEEKDAY(A24,2)&gt;Settings!$B$20,"Weekend Worked",IF(R24&gt;0,"Late Arrival",IF(S24&gt;0,"Early Departure","Present")))))))</f>
        <v>Present</v>
      </c>
      <c r="U24" s="8" t="s">
        <v>246</v>
      </c>
      <c r="V24" s="8" t="s">
        <v>247</v>
      </c>
    </row>
    <row r="25" spans="1:22" x14ac:dyDescent="0.25">
      <c r="A25" s="22">
        <v>46267</v>
      </c>
      <c r="B25" s="8" t="s">
        <v>205</v>
      </c>
      <c r="C25" s="3" t="str">
        <f>IFERROR(INDEX(tblEmployees[Employee Name],MATCH(B25,tblEmployees[Employee ID],0)),"")</f>
        <v>Grace Njoroge</v>
      </c>
      <c r="D25" s="3" t="str">
        <f>IFERROR(INDEX(tblEmployees[Department],MATCH(B25,tblEmployees[Employee ID],0)),"")</f>
        <v>Operations</v>
      </c>
      <c r="E25" s="8" t="s">
        <v>169</v>
      </c>
      <c r="F25" s="23">
        <v>0.33333333333333298</v>
      </c>
      <c r="G25" s="23">
        <v>0.70833333333333304</v>
      </c>
      <c r="H25" s="23">
        <v>0.33333333333333298</v>
      </c>
      <c r="I25" s="23">
        <v>0.70833333333333304</v>
      </c>
      <c r="J25" s="23">
        <v>0.5</v>
      </c>
      <c r="K25" s="23">
        <v>0.54166666666666696</v>
      </c>
      <c r="L25" s="24">
        <f>IF(AND(J25&lt;&gt;"",K25&lt;&gt;""),IF(K25&gt;=J25,(K25-J25)*24,(K25+1-J25)*24),IF(AND(H25&lt;&gt;"",I25&lt;&gt;""),Settings!$B$23,0))</f>
        <v>1.0000000000000071</v>
      </c>
      <c r="M25" s="24">
        <f t="shared" si="0"/>
        <v>9.0000000000000018</v>
      </c>
      <c r="N25" s="24">
        <f>IF(M25="","",IF(COUNTIFS(tblHolidays[Holiday Date],A25)&gt;0,0,IF(WEEKDAY(A25,2)&gt;Settings!$B$20,0,MIN(MAX(M25-L25,0),Settings!$B$25))))</f>
        <v>7.9999999999999947</v>
      </c>
      <c r="O25" s="24">
        <f>IF(M25="","",IF(COUNTIFS(tblHolidays[Holiday Date],A25)&gt;0,0,IF(WEEKDAY(A25,2)&gt;Settings!$B$20,0,MAX(MAX(M25-L25,0)-Settings!$B$25,0))))</f>
        <v>0</v>
      </c>
      <c r="P25" s="24">
        <f>IF(M25="","",IF(COUNTIFS(tblHolidays[Holiday Date],A25)&gt;0,0,IF(WEEKDAY(A25,2)&gt;Settings!$B$20,MAX(M25-L25,0),0)))</f>
        <v>0</v>
      </c>
      <c r="Q25" s="24">
        <f>IF(M25="","",IF(COUNTIFS(tblHolidays[Holiday Date],A25)&gt;0,MAX(M25-L25,0),0))</f>
        <v>0</v>
      </c>
      <c r="R25" s="25">
        <f>IF(OR(H25="",F25=""),0,MAX((H25-F25)*1440-Settings!$B$24,0))</f>
        <v>0</v>
      </c>
      <c r="S25" s="25">
        <f t="shared" si="1"/>
        <v>0</v>
      </c>
      <c r="T25" s="3" t="str">
        <f>IF(B25="","",IF(H25="","Missing Clock In",IF(I25="","Missing Clock Out",IF(COUNTIFS(tblHolidays[Holiday Date],A25)&gt;0,"Holiday Worked",IF(WEEKDAY(A25,2)&gt;Settings!$B$20,"Weekend Worked",IF(R25&gt;0,"Late Arrival",IF(S25&gt;0,"Early Departure","Present")))))))</f>
        <v>Present</v>
      </c>
      <c r="U25" s="8" t="s">
        <v>246</v>
      </c>
      <c r="V25" s="8" t="s">
        <v>247</v>
      </c>
    </row>
    <row r="26" spans="1:22" x14ac:dyDescent="0.25">
      <c r="A26" s="22">
        <v>46266</v>
      </c>
      <c r="B26" s="8" t="s">
        <v>209</v>
      </c>
      <c r="C26" s="3" t="str">
        <f>IFERROR(INDEX(tblEmployees[Employee Name],MATCH(B26,tblEmployees[Employee ID],0)),"")</f>
        <v>Hiro Tanaka</v>
      </c>
      <c r="D26" s="3" t="str">
        <f>IFERROR(INDEX(tblEmployees[Department],MATCH(B26,tblEmployees[Employee ID],0)),"")</f>
        <v>IT &amp; Engineering</v>
      </c>
      <c r="E26" s="8" t="s">
        <v>169</v>
      </c>
      <c r="F26" s="23">
        <v>0.33333333333333298</v>
      </c>
      <c r="G26" s="23">
        <v>0.70833333333333304</v>
      </c>
      <c r="H26" s="23">
        <v>0.33333333333333298</v>
      </c>
      <c r="I26" s="23">
        <v>0.70833333333333304</v>
      </c>
      <c r="J26" s="23">
        <v>0.5</v>
      </c>
      <c r="K26" s="23">
        <v>0.54166666666666696</v>
      </c>
      <c r="L26" s="24">
        <f>IF(AND(J26&lt;&gt;"",K26&lt;&gt;""),IF(K26&gt;=J26,(K26-J26)*24,(K26+1-J26)*24),IF(AND(H26&lt;&gt;"",I26&lt;&gt;""),Settings!$B$23,0))</f>
        <v>1.0000000000000071</v>
      </c>
      <c r="M26" s="24">
        <f t="shared" si="0"/>
        <v>9.0000000000000018</v>
      </c>
      <c r="N26" s="24">
        <f>IF(M26="","",IF(COUNTIFS(tblHolidays[Holiday Date],A26)&gt;0,0,IF(WEEKDAY(A26,2)&gt;Settings!$B$20,0,MIN(MAX(M26-L26,0),Settings!$B$25))))</f>
        <v>7.9999999999999947</v>
      </c>
      <c r="O26" s="24">
        <f>IF(M26="","",IF(COUNTIFS(tblHolidays[Holiday Date],A26)&gt;0,0,IF(WEEKDAY(A26,2)&gt;Settings!$B$20,0,MAX(MAX(M26-L26,0)-Settings!$B$25,0))))</f>
        <v>0</v>
      </c>
      <c r="P26" s="24">
        <f>IF(M26="","",IF(COUNTIFS(tblHolidays[Holiday Date],A26)&gt;0,0,IF(WEEKDAY(A26,2)&gt;Settings!$B$20,MAX(M26-L26,0),0)))</f>
        <v>0</v>
      </c>
      <c r="Q26" s="24">
        <f>IF(M26="","",IF(COUNTIFS(tblHolidays[Holiday Date],A26)&gt;0,MAX(M26-L26,0),0))</f>
        <v>0</v>
      </c>
      <c r="R26" s="25">
        <f>IF(OR(H26="",F26=""),0,MAX((H26-F26)*1440-Settings!$B$24,0))</f>
        <v>0</v>
      </c>
      <c r="S26" s="25">
        <f t="shared" si="1"/>
        <v>0</v>
      </c>
      <c r="T26" s="3" t="str">
        <f>IF(B26="","",IF(H26="","Missing Clock In",IF(I26="","Missing Clock Out",IF(COUNTIFS(tblHolidays[Holiday Date],A26)&gt;0,"Holiday Worked",IF(WEEKDAY(A26,2)&gt;Settings!$B$20,"Weekend Worked",IF(R26&gt;0,"Late Arrival",IF(S26&gt;0,"Early Departure","Present")))))))</f>
        <v>Present</v>
      </c>
      <c r="U26" s="8" t="s">
        <v>246</v>
      </c>
      <c r="V26" s="8" t="s">
        <v>247</v>
      </c>
    </row>
    <row r="27" spans="1:22" x14ac:dyDescent="0.25">
      <c r="A27" s="22">
        <v>46267</v>
      </c>
      <c r="B27" s="8" t="s">
        <v>209</v>
      </c>
      <c r="C27" s="3" t="str">
        <f>IFERROR(INDEX(tblEmployees[Employee Name],MATCH(B27,tblEmployees[Employee ID],0)),"")</f>
        <v>Hiro Tanaka</v>
      </c>
      <c r="D27" s="3" t="str">
        <f>IFERROR(INDEX(tblEmployees[Department],MATCH(B27,tblEmployees[Employee ID],0)),"")</f>
        <v>IT &amp; Engineering</v>
      </c>
      <c r="E27" s="8" t="s">
        <v>169</v>
      </c>
      <c r="F27" s="23">
        <v>0.33333333333333298</v>
      </c>
      <c r="G27" s="23">
        <v>0.70833333333333304</v>
      </c>
      <c r="H27" s="23">
        <v>0.33333333333333298</v>
      </c>
      <c r="I27" s="23">
        <v>0.70833333333333304</v>
      </c>
      <c r="J27" s="23">
        <v>0.5</v>
      </c>
      <c r="K27" s="23">
        <v>0.54166666666666696</v>
      </c>
      <c r="L27" s="24">
        <f>IF(AND(J27&lt;&gt;"",K27&lt;&gt;""),IF(K27&gt;=J27,(K27-J27)*24,(K27+1-J27)*24),IF(AND(H27&lt;&gt;"",I27&lt;&gt;""),Settings!$B$23,0))</f>
        <v>1.0000000000000071</v>
      </c>
      <c r="M27" s="24">
        <f t="shared" si="0"/>
        <v>9.0000000000000018</v>
      </c>
      <c r="N27" s="24">
        <f>IF(M27="","",IF(COUNTIFS(tblHolidays[Holiday Date],A27)&gt;0,0,IF(WEEKDAY(A27,2)&gt;Settings!$B$20,0,MIN(MAX(M27-L27,0),Settings!$B$25))))</f>
        <v>7.9999999999999947</v>
      </c>
      <c r="O27" s="24">
        <f>IF(M27="","",IF(COUNTIFS(tblHolidays[Holiday Date],A27)&gt;0,0,IF(WEEKDAY(A27,2)&gt;Settings!$B$20,0,MAX(MAX(M27-L27,0)-Settings!$B$25,0))))</f>
        <v>0</v>
      </c>
      <c r="P27" s="24">
        <f>IF(M27="","",IF(COUNTIFS(tblHolidays[Holiday Date],A27)&gt;0,0,IF(WEEKDAY(A27,2)&gt;Settings!$B$20,MAX(M27-L27,0),0)))</f>
        <v>0</v>
      </c>
      <c r="Q27" s="24">
        <f>IF(M27="","",IF(COUNTIFS(tblHolidays[Holiday Date],A27)&gt;0,MAX(M27-L27,0),0))</f>
        <v>0</v>
      </c>
      <c r="R27" s="25">
        <f>IF(OR(H27="",F27=""),0,MAX((H27-F27)*1440-Settings!$B$24,0))</f>
        <v>0</v>
      </c>
      <c r="S27" s="25">
        <f t="shared" si="1"/>
        <v>0</v>
      </c>
      <c r="T27" s="3" t="str">
        <f>IF(B27="","",IF(H27="","Missing Clock In",IF(I27="","Missing Clock Out",IF(COUNTIFS(tblHolidays[Holiday Date],A27)&gt;0,"Holiday Worked",IF(WEEKDAY(A27,2)&gt;Settings!$B$20,"Weekend Worked",IF(R27&gt;0,"Late Arrival",IF(S27&gt;0,"Early Departure","Present")))))))</f>
        <v>Present</v>
      </c>
      <c r="U27" s="8" t="s">
        <v>246</v>
      </c>
      <c r="V27" s="8" t="s">
        <v>247</v>
      </c>
    </row>
    <row r="28" spans="1:22" x14ac:dyDescent="0.25">
      <c r="A28" s="22">
        <v>46266</v>
      </c>
      <c r="B28" s="8" t="s">
        <v>215</v>
      </c>
      <c r="C28" s="3" t="str">
        <f>IFERROR(INDEX(tblEmployees[Employee Name],MATCH(B28,tblEmployees[Employee ID],0)),"")</f>
        <v>Isabella Rossi</v>
      </c>
      <c r="D28" s="3" t="str">
        <f>IFERROR(INDEX(tblEmployees[Department],MATCH(B28,tblEmployees[Employee ID],0)),"")</f>
        <v>Human Resources</v>
      </c>
      <c r="E28" s="8" t="s">
        <v>169</v>
      </c>
      <c r="F28" s="23">
        <v>0.33333333333333298</v>
      </c>
      <c r="G28" s="23">
        <v>0.70833333333333304</v>
      </c>
      <c r="H28" s="23">
        <v>0.33333333333333298</v>
      </c>
      <c r="I28" s="23">
        <v>0.70833333333333304</v>
      </c>
      <c r="J28" s="23">
        <v>0.5</v>
      </c>
      <c r="K28" s="23">
        <v>0.54166666666666696</v>
      </c>
      <c r="L28" s="24">
        <f>IF(AND(J28&lt;&gt;"",K28&lt;&gt;""),IF(K28&gt;=J28,(K28-J28)*24,(K28+1-J28)*24),IF(AND(H28&lt;&gt;"",I28&lt;&gt;""),Settings!$B$23,0))</f>
        <v>1.0000000000000071</v>
      </c>
      <c r="M28" s="24">
        <f t="shared" si="0"/>
        <v>9.0000000000000018</v>
      </c>
      <c r="N28" s="24">
        <f>IF(M28="","",IF(COUNTIFS(tblHolidays[Holiday Date],A28)&gt;0,0,IF(WEEKDAY(A28,2)&gt;Settings!$B$20,0,MIN(MAX(M28-L28,0),Settings!$B$25))))</f>
        <v>7.9999999999999947</v>
      </c>
      <c r="O28" s="24">
        <f>IF(M28="","",IF(COUNTIFS(tblHolidays[Holiday Date],A28)&gt;0,0,IF(WEEKDAY(A28,2)&gt;Settings!$B$20,0,MAX(MAX(M28-L28,0)-Settings!$B$25,0))))</f>
        <v>0</v>
      </c>
      <c r="P28" s="24">
        <f>IF(M28="","",IF(COUNTIFS(tblHolidays[Holiday Date],A28)&gt;0,0,IF(WEEKDAY(A28,2)&gt;Settings!$B$20,MAX(M28-L28,0),0)))</f>
        <v>0</v>
      </c>
      <c r="Q28" s="24">
        <f>IF(M28="","",IF(COUNTIFS(tblHolidays[Holiday Date],A28)&gt;0,MAX(M28-L28,0),0))</f>
        <v>0</v>
      </c>
      <c r="R28" s="25">
        <f>IF(OR(H28="",F28=""),0,MAX((H28-F28)*1440-Settings!$B$24,0))</f>
        <v>0</v>
      </c>
      <c r="S28" s="25">
        <f t="shared" si="1"/>
        <v>0</v>
      </c>
      <c r="T28" s="3" t="str">
        <f>IF(B28="","",IF(H28="","Missing Clock In",IF(I28="","Missing Clock Out",IF(COUNTIFS(tblHolidays[Holiday Date],A28)&gt;0,"Holiday Worked",IF(WEEKDAY(A28,2)&gt;Settings!$B$20,"Weekend Worked",IF(R28&gt;0,"Late Arrival",IF(S28&gt;0,"Early Departure","Present")))))))</f>
        <v>Present</v>
      </c>
      <c r="U28" s="8" t="s">
        <v>246</v>
      </c>
      <c r="V28" s="8" t="s">
        <v>247</v>
      </c>
    </row>
    <row r="29" spans="1:22" x14ac:dyDescent="0.25">
      <c r="A29" s="22">
        <v>46267</v>
      </c>
      <c r="B29" s="8" t="s">
        <v>215</v>
      </c>
      <c r="C29" s="3" t="str">
        <f>IFERROR(INDEX(tblEmployees[Employee Name],MATCH(B29,tblEmployees[Employee ID],0)),"")</f>
        <v>Isabella Rossi</v>
      </c>
      <c r="D29" s="3" t="str">
        <f>IFERROR(INDEX(tblEmployees[Department],MATCH(B29,tblEmployees[Employee ID],0)),"")</f>
        <v>Human Resources</v>
      </c>
      <c r="E29" s="8" t="s">
        <v>169</v>
      </c>
      <c r="F29" s="23">
        <v>0.33333333333333298</v>
      </c>
      <c r="G29" s="23">
        <v>0.70833333333333304</v>
      </c>
      <c r="H29" s="23">
        <v>0.33333333333333298</v>
      </c>
      <c r="I29" s="23">
        <v>0.70833333333333304</v>
      </c>
      <c r="J29" s="23">
        <v>0.5</v>
      </c>
      <c r="K29" s="23">
        <v>0.54166666666666696</v>
      </c>
      <c r="L29" s="24">
        <f>IF(AND(J29&lt;&gt;"",K29&lt;&gt;""),IF(K29&gt;=J29,(K29-J29)*24,(K29+1-J29)*24),IF(AND(H29&lt;&gt;"",I29&lt;&gt;""),Settings!$B$23,0))</f>
        <v>1.0000000000000071</v>
      </c>
      <c r="M29" s="24">
        <f t="shared" si="0"/>
        <v>9.0000000000000018</v>
      </c>
      <c r="N29" s="24">
        <f>IF(M29="","",IF(COUNTIFS(tblHolidays[Holiday Date],A29)&gt;0,0,IF(WEEKDAY(A29,2)&gt;Settings!$B$20,0,MIN(MAX(M29-L29,0),Settings!$B$25))))</f>
        <v>7.9999999999999947</v>
      </c>
      <c r="O29" s="24">
        <f>IF(M29="","",IF(COUNTIFS(tblHolidays[Holiday Date],A29)&gt;0,0,IF(WEEKDAY(A29,2)&gt;Settings!$B$20,0,MAX(MAX(M29-L29,0)-Settings!$B$25,0))))</f>
        <v>0</v>
      </c>
      <c r="P29" s="24">
        <f>IF(M29="","",IF(COUNTIFS(tblHolidays[Holiday Date],A29)&gt;0,0,IF(WEEKDAY(A29,2)&gt;Settings!$B$20,MAX(M29-L29,0),0)))</f>
        <v>0</v>
      </c>
      <c r="Q29" s="24">
        <f>IF(M29="","",IF(COUNTIFS(tblHolidays[Holiday Date],A29)&gt;0,MAX(M29-L29,0),0))</f>
        <v>0</v>
      </c>
      <c r="R29" s="25">
        <f>IF(OR(H29="",F29=""),0,MAX((H29-F29)*1440-Settings!$B$24,0))</f>
        <v>0</v>
      </c>
      <c r="S29" s="25">
        <f t="shared" si="1"/>
        <v>0</v>
      </c>
      <c r="T29" s="3" t="str">
        <f>IF(B29="","",IF(H29="","Missing Clock In",IF(I29="","Missing Clock Out",IF(COUNTIFS(tblHolidays[Holiday Date],A29)&gt;0,"Holiday Worked",IF(WEEKDAY(A29,2)&gt;Settings!$B$20,"Weekend Worked",IF(R29&gt;0,"Late Arrival",IF(S29&gt;0,"Early Departure","Present")))))))</f>
        <v>Present</v>
      </c>
      <c r="U29" s="8" t="s">
        <v>246</v>
      </c>
      <c r="V29" s="8" t="s">
        <v>247</v>
      </c>
    </row>
    <row r="30" spans="1:22" x14ac:dyDescent="0.25">
      <c r="A30" s="22">
        <v>46266</v>
      </c>
      <c r="B30" s="8" t="s">
        <v>221</v>
      </c>
      <c r="C30" s="3" t="str">
        <f>IFERROR(INDEX(tblEmployees[Employee Name],MATCH(B30,tblEmployees[Employee ID],0)),"")</f>
        <v>Jonah Baptiste</v>
      </c>
      <c r="D30" s="3" t="str">
        <f>IFERROR(INDEX(tblEmployees[Department],MATCH(B30,tblEmployees[Employee ID],0)),"")</f>
        <v>Finance</v>
      </c>
      <c r="E30" s="8" t="s">
        <v>169</v>
      </c>
      <c r="F30" s="23">
        <v>0.33333333333333298</v>
      </c>
      <c r="G30" s="23">
        <v>0.70833333333333304</v>
      </c>
      <c r="H30" s="23">
        <v>0.33333333333333298</v>
      </c>
      <c r="I30" s="23">
        <v>0.70833333333333304</v>
      </c>
      <c r="J30" s="23">
        <v>0.5</v>
      </c>
      <c r="K30" s="23">
        <v>0.54166666666666696</v>
      </c>
      <c r="L30" s="24">
        <f>IF(AND(J30&lt;&gt;"",K30&lt;&gt;""),IF(K30&gt;=J30,(K30-J30)*24,(K30+1-J30)*24),IF(AND(H30&lt;&gt;"",I30&lt;&gt;""),Settings!$B$23,0))</f>
        <v>1.0000000000000071</v>
      </c>
      <c r="M30" s="24">
        <f t="shared" si="0"/>
        <v>9.0000000000000018</v>
      </c>
      <c r="N30" s="24">
        <f>IF(M30="","",IF(COUNTIFS(tblHolidays[Holiday Date],A30)&gt;0,0,IF(WEEKDAY(A30,2)&gt;Settings!$B$20,0,MIN(MAX(M30-L30,0),Settings!$B$25))))</f>
        <v>7.9999999999999947</v>
      </c>
      <c r="O30" s="24">
        <f>IF(M30="","",IF(COUNTIFS(tblHolidays[Holiday Date],A30)&gt;0,0,IF(WEEKDAY(A30,2)&gt;Settings!$B$20,0,MAX(MAX(M30-L30,0)-Settings!$B$25,0))))</f>
        <v>0</v>
      </c>
      <c r="P30" s="24">
        <f>IF(M30="","",IF(COUNTIFS(tblHolidays[Holiday Date],A30)&gt;0,0,IF(WEEKDAY(A30,2)&gt;Settings!$B$20,MAX(M30-L30,0),0)))</f>
        <v>0</v>
      </c>
      <c r="Q30" s="24">
        <f>IF(M30="","",IF(COUNTIFS(tblHolidays[Holiday Date],A30)&gt;0,MAX(M30-L30,0),0))</f>
        <v>0</v>
      </c>
      <c r="R30" s="25">
        <f>IF(OR(H30="",F30=""),0,MAX((H30-F30)*1440-Settings!$B$24,0))</f>
        <v>0</v>
      </c>
      <c r="S30" s="25">
        <f t="shared" si="1"/>
        <v>0</v>
      </c>
      <c r="T30" s="3" t="str">
        <f>IF(B30="","",IF(H30="","Missing Clock In",IF(I30="","Missing Clock Out",IF(COUNTIFS(tblHolidays[Holiday Date],A30)&gt;0,"Holiday Worked",IF(WEEKDAY(A30,2)&gt;Settings!$B$20,"Weekend Worked",IF(R30&gt;0,"Late Arrival",IF(S30&gt;0,"Early Departure","Present")))))))</f>
        <v>Present</v>
      </c>
      <c r="U30" s="8" t="s">
        <v>246</v>
      </c>
      <c r="V30" s="8" t="s">
        <v>247</v>
      </c>
    </row>
    <row r="31" spans="1:22" x14ac:dyDescent="0.25">
      <c r="A31" s="22">
        <v>46267</v>
      </c>
      <c r="B31" s="8" t="s">
        <v>221</v>
      </c>
      <c r="C31" s="3" t="str">
        <f>IFERROR(INDEX(tblEmployees[Employee Name],MATCH(B31,tblEmployees[Employee ID],0)),"")</f>
        <v>Jonah Baptiste</v>
      </c>
      <c r="D31" s="3" t="str">
        <f>IFERROR(INDEX(tblEmployees[Department],MATCH(B31,tblEmployees[Employee ID],0)),"")</f>
        <v>Finance</v>
      </c>
      <c r="E31" s="8" t="s">
        <v>169</v>
      </c>
      <c r="F31" s="23">
        <v>0.33333333333333298</v>
      </c>
      <c r="G31" s="23">
        <v>0.70833333333333304</v>
      </c>
      <c r="H31" s="23">
        <v>0.33333333333333298</v>
      </c>
      <c r="I31" s="23">
        <v>0.83333333333333304</v>
      </c>
      <c r="J31" s="23">
        <v>0.5</v>
      </c>
      <c r="K31" s="23">
        <v>0.54166666666666696</v>
      </c>
      <c r="L31" s="24">
        <f>IF(AND(J31&lt;&gt;"",K31&lt;&gt;""),IF(K31&gt;=J31,(K31-J31)*24,(K31+1-J31)*24),IF(AND(H31&lt;&gt;"",I31&lt;&gt;""),Settings!$B$23,0))</f>
        <v>1.0000000000000071</v>
      </c>
      <c r="M31" s="24">
        <f t="shared" si="0"/>
        <v>12</v>
      </c>
      <c r="N31" s="24">
        <f>IF(M31="","",IF(COUNTIFS(tblHolidays[Holiday Date],A31)&gt;0,0,IF(WEEKDAY(A31,2)&gt;Settings!$B$20,0,MIN(MAX(M31-L31,0),Settings!$B$25))))</f>
        <v>8</v>
      </c>
      <c r="O31" s="24">
        <f>IF(M31="","",IF(COUNTIFS(tblHolidays[Holiday Date],A31)&gt;0,0,IF(WEEKDAY(A31,2)&gt;Settings!$B$20,0,MAX(MAX(M31-L31,0)-Settings!$B$25,0))))</f>
        <v>2.9999999999999929</v>
      </c>
      <c r="P31" s="24">
        <f>IF(M31="","",IF(COUNTIFS(tblHolidays[Holiday Date],A31)&gt;0,0,IF(WEEKDAY(A31,2)&gt;Settings!$B$20,MAX(M31-L31,0),0)))</f>
        <v>0</v>
      </c>
      <c r="Q31" s="24">
        <f>IF(M31="","",IF(COUNTIFS(tblHolidays[Holiday Date],A31)&gt;0,MAX(M31-L31,0),0))</f>
        <v>0</v>
      </c>
      <c r="R31" s="25">
        <f>IF(OR(H31="",F31=""),0,MAX((H31-F31)*1440-Settings!$B$24,0))</f>
        <v>0</v>
      </c>
      <c r="S31" s="25">
        <f t="shared" si="1"/>
        <v>0</v>
      </c>
      <c r="T31" s="3" t="str">
        <f>IF(B31="","",IF(H31="","Missing Clock In",IF(I31="","Missing Clock Out",IF(COUNTIFS(tblHolidays[Holiday Date],A31)&gt;0,"Holiday Worked",IF(WEEKDAY(A31,2)&gt;Settings!$B$20,"Weekend Worked",IF(R31&gt;0,"Late Arrival",IF(S31&gt;0,"Early Departure","Present")))))))</f>
        <v>Present</v>
      </c>
      <c r="U31" s="8" t="s">
        <v>246</v>
      </c>
      <c r="V31" s="8" t="s">
        <v>250</v>
      </c>
    </row>
  </sheetData>
  <mergeCells count="1">
    <mergeCell ref="A1:V1"/>
  </mergeCells>
  <conditionalFormatting sqref="T4:T31">
    <cfRule type="cellIs" dxfId="12" priority="2" operator="equal">
      <formula>"Present"</formula>
    </cfRule>
    <cfRule type="cellIs" dxfId="11" priority="3" operator="equal">
      <formula>"Missing Clock In"</formula>
    </cfRule>
    <cfRule type="cellIs" dxfId="10" priority="4" operator="equal">
      <formula>"Missing Clock Out"</formula>
    </cfRule>
    <cfRule type="cellIs" dxfId="9" priority="5" operator="equal">
      <formula>"Late Arrival"</formula>
    </cfRule>
    <cfRule type="cellIs" dxfId="8" priority="6" operator="equal">
      <formula>"Early Departure"</formula>
    </cfRule>
    <cfRule type="cellIs" dxfId="7" priority="7" operator="equal">
      <formula>"Weekend Worked"</formula>
    </cfRule>
    <cfRule type="cellIs" dxfId="6" priority="8" operator="equal">
      <formula>"Holiday Worked"</formula>
    </cfRule>
  </conditionalFormatting>
  <pageMargins left="0.4" right="0.4" top="0.5" bottom="0.5" header="0.511811023622047" footer="0.511811023622047"/>
  <pageSetup fitToHeight="0" orientation="landscape"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3864"/>
    <pageSetUpPr fitToPage="1"/>
  </sheetPr>
  <dimension ref="A1:L7"/>
  <sheetViews>
    <sheetView showGridLines="0" zoomScaleNormal="100" workbookViewId="0">
      <pane ySplit="3" topLeftCell="A4" activePane="bottomLeft" state="frozen"/>
      <selection pane="bottomLeft" sqref="A1:L1"/>
    </sheetView>
  </sheetViews>
  <sheetFormatPr defaultColWidth="8.7109375" defaultRowHeight="15" x14ac:dyDescent="0.25"/>
  <cols>
    <col min="1" max="1" width="10" customWidth="1"/>
    <col min="2" max="2" width="12" customWidth="1"/>
    <col min="3" max="3" width="18" customWidth="1"/>
    <col min="4" max="5" width="16" customWidth="1"/>
    <col min="6" max="7" width="14" customWidth="1"/>
    <col min="8" max="9" width="12" customWidth="1"/>
    <col min="10" max="10" width="14" customWidth="1"/>
    <col min="11" max="11" width="16" customWidth="1"/>
    <col min="12" max="12" width="30" customWidth="1"/>
  </cols>
  <sheetData>
    <row r="1" spans="1:12" ht="27.75" customHeight="1" x14ac:dyDescent="0.25">
      <c r="A1" s="45" t="s">
        <v>257</v>
      </c>
      <c r="B1" s="45"/>
      <c r="C1" s="45"/>
      <c r="D1" s="45"/>
      <c r="E1" s="45"/>
      <c r="F1" s="45"/>
      <c r="G1" s="45"/>
      <c r="H1" s="45"/>
      <c r="I1" s="45"/>
      <c r="J1" s="45"/>
      <c r="K1" s="45"/>
      <c r="L1" s="45"/>
    </row>
    <row r="3" spans="1:12" ht="25.5" x14ac:dyDescent="0.25">
      <c r="A3" s="6" t="s">
        <v>258</v>
      </c>
      <c r="B3" s="6" t="s">
        <v>139</v>
      </c>
      <c r="C3" s="6" t="s">
        <v>140</v>
      </c>
      <c r="D3" s="6" t="s">
        <v>143</v>
      </c>
      <c r="E3" s="6" t="s">
        <v>259</v>
      </c>
      <c r="F3" s="6" t="s">
        <v>260</v>
      </c>
      <c r="G3" s="6" t="s">
        <v>261</v>
      </c>
      <c r="H3" s="6" t="s">
        <v>262</v>
      </c>
      <c r="I3" s="6" t="s">
        <v>263</v>
      </c>
      <c r="J3" s="6" t="s">
        <v>245</v>
      </c>
      <c r="K3" s="6" t="s">
        <v>264</v>
      </c>
      <c r="L3" s="6" t="s">
        <v>156</v>
      </c>
    </row>
    <row r="4" spans="1:12" x14ac:dyDescent="0.25">
      <c r="A4" s="26" t="s">
        <v>265</v>
      </c>
      <c r="B4" s="14" t="s">
        <v>193</v>
      </c>
      <c r="C4" s="3" t="str">
        <f>IFERROR(INDEX(tblEmployees[Employee Name],MATCH(B4,tblEmployees[Employee ID],0)),"")</f>
        <v>Elena Petrova</v>
      </c>
      <c r="D4" s="3" t="str">
        <f>IFERROR(INDEX(tblEmployees[Department],MATCH(B4,tblEmployees[Employee ID],0)),"")</f>
        <v>Sales</v>
      </c>
      <c r="E4" s="14" t="s">
        <v>266</v>
      </c>
      <c r="F4" s="18">
        <v>46280</v>
      </c>
      <c r="G4" s="18">
        <v>46282</v>
      </c>
      <c r="H4" s="25">
        <f>IF(OR(F4="",G4=""),"",G4-F4+1)</f>
        <v>3</v>
      </c>
      <c r="I4" s="14" t="s">
        <v>267</v>
      </c>
      <c r="J4" s="14" t="s">
        <v>246</v>
      </c>
      <c r="K4" s="14" t="s">
        <v>84</v>
      </c>
      <c r="L4" s="14" t="s">
        <v>247</v>
      </c>
    </row>
    <row r="5" spans="1:12" x14ac:dyDescent="0.25">
      <c r="A5" s="26" t="s">
        <v>268</v>
      </c>
      <c r="B5" s="14" t="s">
        <v>158</v>
      </c>
      <c r="C5" s="3" t="str">
        <f>IFERROR(INDEX(tblEmployees[Employee Name],MATCH(B5,tblEmployees[Employee ID],0)),"")</f>
        <v>Amelia Carter</v>
      </c>
      <c r="D5" s="3" t="str">
        <f>IFERROR(INDEX(tblEmployees[Department],MATCH(B5,tblEmployees[Employee ID],0)),"")</f>
        <v>Sales</v>
      </c>
      <c r="E5" s="14" t="s">
        <v>269</v>
      </c>
      <c r="F5" s="18">
        <v>46275</v>
      </c>
      <c r="G5" s="18">
        <v>46275</v>
      </c>
      <c r="H5" s="25">
        <f>IF(OR(F5="",G5=""),"",G5-F5+1)</f>
        <v>1</v>
      </c>
      <c r="I5" s="14" t="s">
        <v>270</v>
      </c>
      <c r="J5" s="14" t="s">
        <v>246</v>
      </c>
      <c r="K5" s="14" t="s">
        <v>165</v>
      </c>
      <c r="L5" s="14" t="s">
        <v>247</v>
      </c>
    </row>
    <row r="6" spans="1:12" x14ac:dyDescent="0.25">
      <c r="A6" s="26" t="s">
        <v>271</v>
      </c>
      <c r="B6" s="14" t="s">
        <v>215</v>
      </c>
      <c r="C6" s="3" t="str">
        <f>IFERROR(INDEX(tblEmployees[Employee Name],MATCH(B6,tblEmployees[Employee ID],0)),"")</f>
        <v>Isabella Rossi</v>
      </c>
      <c r="D6" s="3" t="str">
        <f>IFERROR(INDEX(tblEmployees[Department],MATCH(B6,tblEmployees[Employee ID],0)),"")</f>
        <v>Human Resources</v>
      </c>
      <c r="E6" s="14" t="s">
        <v>272</v>
      </c>
      <c r="F6" s="18">
        <v>46268</v>
      </c>
      <c r="G6" s="18">
        <v>46269</v>
      </c>
      <c r="H6" s="25">
        <f>IF(OR(F6="",G6=""),"",G6-F6+1)</f>
        <v>2</v>
      </c>
      <c r="I6" s="14" t="s">
        <v>270</v>
      </c>
      <c r="J6" s="14" t="s">
        <v>246</v>
      </c>
      <c r="K6" s="14" t="s">
        <v>84</v>
      </c>
      <c r="L6" s="14" t="s">
        <v>247</v>
      </c>
    </row>
    <row r="7" spans="1:12" x14ac:dyDescent="0.25">
      <c r="A7" s="26" t="s">
        <v>273</v>
      </c>
      <c r="B7" s="14" t="s">
        <v>198</v>
      </c>
      <c r="C7" s="3" t="str">
        <f>IFERROR(INDEX(tblEmployees[Employee Name],MATCH(B7,tblEmployees[Employee ID],0)),"")</f>
        <v>Farhan Ali</v>
      </c>
      <c r="D7" s="3" t="str">
        <f>IFERROR(INDEX(tblEmployees[Department],MATCH(B7,tblEmployees[Employee ID],0)),"")</f>
        <v>Operations</v>
      </c>
      <c r="E7" s="14" t="s">
        <v>274</v>
      </c>
      <c r="F7" s="18">
        <v>46287</v>
      </c>
      <c r="G7" s="18">
        <v>46287</v>
      </c>
      <c r="H7" s="25">
        <f>IF(OR(F7="",G7=""),"",G7-F7+1)</f>
        <v>1</v>
      </c>
      <c r="I7" s="14" t="s">
        <v>267</v>
      </c>
      <c r="J7" s="14" t="s">
        <v>253</v>
      </c>
      <c r="K7" s="14"/>
      <c r="L7" s="14" t="s">
        <v>275</v>
      </c>
    </row>
  </sheetData>
  <mergeCells count="1">
    <mergeCell ref="A1:L1"/>
  </mergeCells>
  <pageMargins left="0.4" right="0.4" top="0.5" bottom="0.5" header="0.511811023622047" footer="0.511811023622047"/>
  <pageSetup fitToHeight="0" orientation="landscape"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F3864"/>
    <pageSetUpPr fitToPage="1"/>
  </sheetPr>
  <dimension ref="A1:AB14"/>
  <sheetViews>
    <sheetView showGridLines="0" zoomScaleNormal="100" workbookViewId="0">
      <pane ySplit="4" topLeftCell="A5" activePane="bottomLeft" state="frozen"/>
      <selection pane="bottomLeft" sqref="A1:AB1"/>
    </sheetView>
  </sheetViews>
  <sheetFormatPr defaultColWidth="8.7109375" defaultRowHeight="15" x14ac:dyDescent="0.25"/>
  <cols>
    <col min="1" max="1" width="13" customWidth="1"/>
    <col min="2" max="2" width="18" customWidth="1"/>
    <col min="3" max="3" width="16" customWidth="1"/>
    <col min="4" max="4" width="20" customWidth="1"/>
    <col min="5" max="28" width="13" customWidth="1"/>
  </cols>
  <sheetData>
    <row r="1" spans="1:28" ht="27.75" customHeight="1" x14ac:dyDescent="0.25">
      <c r="A1" s="45" t="s">
        <v>276</v>
      </c>
      <c r="B1" s="45"/>
      <c r="C1" s="45"/>
      <c r="D1" s="45"/>
      <c r="E1" s="45"/>
      <c r="F1" s="45"/>
      <c r="G1" s="45"/>
      <c r="H1" s="45"/>
      <c r="I1" s="45"/>
      <c r="J1" s="45"/>
      <c r="K1" s="45"/>
      <c r="L1" s="45"/>
      <c r="M1" s="45"/>
      <c r="N1" s="45"/>
      <c r="O1" s="45"/>
      <c r="P1" s="45"/>
      <c r="Q1" s="45"/>
      <c r="R1" s="45"/>
      <c r="S1" s="45"/>
      <c r="T1" s="45"/>
      <c r="U1" s="45"/>
      <c r="V1" s="45"/>
      <c r="W1" s="45"/>
      <c r="X1" s="45"/>
      <c r="Y1" s="45"/>
      <c r="Z1" s="45"/>
      <c r="AA1" s="45"/>
      <c r="AB1" s="45"/>
    </row>
    <row r="2" spans="1:28" x14ac:dyDescent="0.25">
      <c r="A2" s="4" t="s">
        <v>1</v>
      </c>
      <c r="B2" s="5" t="str">
        <f>TEXT(PeriodStart,"mmmm yyyy")</f>
        <v>September 2026</v>
      </c>
    </row>
    <row r="4" spans="1:28" ht="25.5" x14ac:dyDescent="0.25">
      <c r="A4" s="6" t="s">
        <v>139</v>
      </c>
      <c r="B4" s="6" t="s">
        <v>140</v>
      </c>
      <c r="C4" s="6" t="s">
        <v>143</v>
      </c>
      <c r="D4" s="6" t="s">
        <v>144</v>
      </c>
      <c r="E4" s="6" t="s">
        <v>151</v>
      </c>
      <c r="F4" s="6" t="s">
        <v>277</v>
      </c>
      <c r="G4" s="6" t="s">
        <v>238</v>
      </c>
      <c r="H4" s="6" t="s">
        <v>239</v>
      </c>
      <c r="I4" s="6" t="s">
        <v>240</v>
      </c>
      <c r="J4" s="6" t="s">
        <v>278</v>
      </c>
      <c r="K4" s="6" t="s">
        <v>279</v>
      </c>
      <c r="L4" s="6" t="s">
        <v>280</v>
      </c>
      <c r="M4" s="6" t="s">
        <v>281</v>
      </c>
      <c r="N4" s="6" t="s">
        <v>282</v>
      </c>
      <c r="O4" s="6" t="s">
        <v>283</v>
      </c>
      <c r="P4" s="6" t="s">
        <v>284</v>
      </c>
      <c r="Q4" s="6" t="s">
        <v>285</v>
      </c>
      <c r="R4" s="6" t="s">
        <v>286</v>
      </c>
      <c r="S4" s="6" t="s">
        <v>287</v>
      </c>
      <c r="T4" s="6" t="s">
        <v>15</v>
      </c>
      <c r="U4" s="6" t="s">
        <v>16</v>
      </c>
      <c r="V4" s="6" t="s">
        <v>17</v>
      </c>
      <c r="W4" s="6" t="s">
        <v>18</v>
      </c>
      <c r="X4" s="6" t="s">
        <v>19</v>
      </c>
      <c r="Y4" s="6" t="s">
        <v>20</v>
      </c>
      <c r="Z4" s="6" t="s">
        <v>5</v>
      </c>
      <c r="AA4" s="6" t="s">
        <v>288</v>
      </c>
      <c r="AB4" s="6" t="s">
        <v>289</v>
      </c>
    </row>
    <row r="5" spans="1:28" x14ac:dyDescent="0.25">
      <c r="A5" s="3" t="str">
        <f>IFERROR(INDEX(tblEmployees[Employee ID],1),"")</f>
        <v>E001</v>
      </c>
      <c r="B5" s="3" t="str">
        <f>IF(A5="","",IFERROR(INDEX(tblEmployees[Employee Name],MATCH(A5,tblEmployees[Employee ID],0)),""))</f>
        <v>Amelia Carter</v>
      </c>
      <c r="C5" s="3" t="str">
        <f>IF(A5="","",IFERROR(INDEX(tblEmployees[Department],MATCH(A5,tblEmployees[Employee ID],0)),""))</f>
        <v>Sales</v>
      </c>
      <c r="D5" s="3" t="str">
        <f>IF(A5="","",IFERROR(INDEX(tblEmployees[Job Title],MATCH(A5,tblEmployees[Employee ID],0)),""))</f>
        <v>Sales Associate</v>
      </c>
      <c r="E5" s="7">
        <f>IF(A5="",0,IFERROR(INDEX(tblEmployees[Monthly Basic Salary],MATCH(A5,tblEmployees[Employee ID],0)),0))</f>
        <v>4200</v>
      </c>
      <c r="F5" s="7">
        <f t="shared" ref="F5:F14" si="0">IF(A5="",0,IFERROR(E5/MonthlyHoursDivisor,0))</f>
        <v>20.192307692307693</v>
      </c>
      <c r="G5" s="7">
        <f>IF(A5="",0,SUMIFS(tblAttendance[Regular Hours],tblAttendance[Employee ID],A5,tblAttendance[Date],"&gt;="&amp;PeriodStart,tblAttendance[Date],"&lt;="&amp;PeriodEnd))</f>
        <v>39.64999999999997</v>
      </c>
      <c r="H5" s="7">
        <f>IF(A5="",0,SUMIFS(tblAttendance[Overtime Hours],tblAttendance[Employee ID],A5,tblAttendance[Date],"&gt;="&amp;PeriodStart,tblAttendance[Date],"&lt;="&amp;PeriodEnd))</f>
        <v>2.1333333333333417</v>
      </c>
      <c r="I5" s="7">
        <f>IF(A5="",0,SUMIFS(tblAttendance[Weekend Hours],tblAttendance[Employee ID],A5,tblAttendance[Date],"&gt;="&amp;PeriodStart,tblAttendance[Date],"&lt;="&amp;PeriodEnd))</f>
        <v>0</v>
      </c>
      <c r="J5" s="7">
        <f>IF(A5="",0,SUMIFS(tblAttendance[Public Holiday Hours],tblAttendance[Employee ID],A5,tblAttendance[Date],"&gt;="&amp;PeriodStart,tblAttendance[Date],"&lt;="&amp;PeriodEnd))</f>
        <v>0</v>
      </c>
      <c r="K5" s="7">
        <f t="shared" ref="K5:K14" si="1">H5*F5*NormalOTMult</f>
        <v>53.846153846154067</v>
      </c>
      <c r="L5" s="7">
        <f t="shared" ref="L5:L14" si="2">I5*F5*WeekendOTMult</f>
        <v>0</v>
      </c>
      <c r="M5" s="7">
        <f t="shared" ref="M5:M14" si="3">J5*F5*HolidayOTMult</f>
        <v>0</v>
      </c>
      <c r="N5" s="7">
        <f>IF(A5="",0,SUMIFS(tblAllowBonus[Amount],tblAllowBonus[Employee ID],A5,tblAllowBonus[Category],"Allowance",tblAllowBonus[Approved?],"Yes",tblAllowBonus[Pay Period],PeriodStart))</f>
        <v>500</v>
      </c>
      <c r="O5" s="7">
        <f>IF(A5="",0,SUMIFS(tblAllowBonus[Amount],tblAllowBonus[Employee ID],A5,tblAllowBonus[Category],"Bonus",tblAllowBonus[Approved?],"Yes",tblAllowBonus[Pay Period],PeriodStart))</f>
        <v>0</v>
      </c>
      <c r="P5" s="7">
        <f>IF(A5="",0,SUMIFS(tblAllowBonus[Amount],tblAllowBonus[Employee ID],A5,tblAllowBonus[Category],"Other",tblAllowBonus[Approved?],"Yes",tblAllowBonus[Pay Period],PeriodStart))</f>
        <v>0</v>
      </c>
      <c r="Q5" s="7">
        <f t="shared" ref="Q5:Q14" si="4">E5+K5+L5+M5+N5+O5+P5</f>
        <v>4753.8461538461543</v>
      </c>
      <c r="R5" s="27">
        <f>IF(A5="",0,SUMIFS(tblLeave[Number of Days],tblLeave[Employee ID],A5,tblLeave[Paid/Unpaid],"Unpaid",tblLeave[Approval Status],"Approved",tblLeave[Start Date],"&gt;="&amp;PeriodStart,tblLeave[End Date],"&lt;="&amp;PeriodEnd))</f>
        <v>0</v>
      </c>
      <c r="S5" s="7">
        <f t="shared" ref="S5:S14" si="5">IF(R5=0,0,IF(UnpaidLeaveMethod="Working Days",E5/WorkingDaysDivisor*R5,IF(UnpaidLeaveMethod="Calendar Days",E5/(PeriodEnd-PeriodStart+1)*R5,F5*StdHoursDay*R5)))</f>
        <v>0</v>
      </c>
      <c r="T5" s="7">
        <f>IF(A5="",0,SUMIFS(tblDedAssign[Deduction Amount],tblDedAssign[Employee ID],A5,tblDedAssign[Deduction ID],"D01",tblDedAssign[Active?],"Yes"))</f>
        <v>210</v>
      </c>
      <c r="U5" s="7">
        <f>IF(A5="",0,SUMIFS(tblDedAssign[Deduction Amount],tblDedAssign[Employee ID],A5,tblDedAssign[Deduction ID],"D02",tblDedAssign[Active?],"Yes"))</f>
        <v>84</v>
      </c>
      <c r="V5" s="7">
        <f>IF(A5="",0,SUMIFS(tblDedAssign[Deduction Amount],tblDedAssign[Employee ID],A5,tblDedAssign[Deduction ID],"D03",tblDedAssign[Active?],"Yes"))</f>
        <v>0</v>
      </c>
      <c r="W5" s="7">
        <f>IF(A5="",0,SUMIFS(tblDedAssign[Deduction Amount],tblDedAssign[Employee ID],A5,tblDedAssign[Deduction ID],"D04",tblDedAssign[Active?],"Yes"))</f>
        <v>0</v>
      </c>
      <c r="X5" s="7">
        <f>IF(A5="",0,SUMIFS(tblDedAssign[Deduction Amount],tblDedAssign[Employee ID],A5,tblDedAssign[Deduction ID],"D05",tblDedAssign[Active?],"Yes"))</f>
        <v>0</v>
      </c>
      <c r="Y5" s="7">
        <f>IF(A5="",0,SUMIFS(tblDedAssign[Deduction Amount],tblDedAssign[Employee ID],A5,tblDedAssign[Deduction ID],"D06",tblDedAssign[Active?],"Yes"))</f>
        <v>0</v>
      </c>
      <c r="Z5" s="7">
        <f t="shared" ref="Z5:Z14" si="6">SUM(T5:Y5)</f>
        <v>294</v>
      </c>
      <c r="AA5" s="7">
        <f t="shared" ref="AA5:AA14" si="7">Q5-Z5-S5</f>
        <v>4459.8461538461543</v>
      </c>
      <c r="AB5" s="3" t="str">
        <f t="shared" ref="AB5:AB14" si="8">IF(A5="","","Calculated")</f>
        <v>Calculated</v>
      </c>
    </row>
    <row r="6" spans="1:28" x14ac:dyDescent="0.25">
      <c r="A6" s="3" t="str">
        <f>IFERROR(INDEX(tblEmployees[Employee ID],2),"")</f>
        <v>E002</v>
      </c>
      <c r="B6" s="3" t="str">
        <f>IF(A6="","",IFERROR(INDEX(tblEmployees[Employee Name],MATCH(A6,tblEmployees[Employee ID],0)),""))</f>
        <v>Brian Osei</v>
      </c>
      <c r="C6" s="3" t="str">
        <f>IF(A6="","",IFERROR(INDEX(tblEmployees[Department],MATCH(A6,tblEmployees[Employee ID],0)),""))</f>
        <v>Operations</v>
      </c>
      <c r="D6" s="3" t="str">
        <f>IF(A6="","",IFERROR(INDEX(tblEmployees[Job Title],MATCH(A6,tblEmployees[Employee ID],0)),""))</f>
        <v>Warehouse Supervisor</v>
      </c>
      <c r="E6" s="7">
        <f>IF(A6="",0,IFERROR(INDEX(tblEmployees[Monthly Basic Salary],MATCH(A6,tblEmployees[Employee ID],0)),0))</f>
        <v>5200</v>
      </c>
      <c r="F6" s="7">
        <f t="shared" si="0"/>
        <v>25</v>
      </c>
      <c r="G6" s="7">
        <f>IF(A6="",0,SUMIFS(tblAttendance[Regular Hours],tblAttendance[Employee ID],A6,tblAttendance[Date],"&gt;="&amp;PeriodStart,tblAttendance[Date],"&lt;="&amp;PeriodEnd))</f>
        <v>15.999999999999989</v>
      </c>
      <c r="H6" s="7">
        <f>IF(A6="",0,SUMIFS(tblAttendance[Overtime Hours],tblAttendance[Employee ID],A6,tblAttendance[Date],"&gt;="&amp;PeriodStart,tblAttendance[Date],"&lt;="&amp;PeriodEnd))</f>
        <v>0</v>
      </c>
      <c r="I6" s="7">
        <f>IF(A6="",0,SUMIFS(tblAttendance[Weekend Hours],tblAttendance[Employee ID],A6,tblAttendance[Date],"&gt;="&amp;PeriodStart,tblAttendance[Date],"&lt;="&amp;PeriodEnd))</f>
        <v>4.000000000000016</v>
      </c>
      <c r="J6" s="7">
        <f>IF(A6="",0,SUMIFS(tblAttendance[Public Holiday Hours],tblAttendance[Employee ID],A6,tblAttendance[Date],"&gt;="&amp;PeriodStart,tblAttendance[Date],"&lt;="&amp;PeriodEnd))</f>
        <v>5.0000000000000018</v>
      </c>
      <c r="K6" s="7">
        <f t="shared" si="1"/>
        <v>0</v>
      </c>
      <c r="L6" s="7">
        <f t="shared" si="2"/>
        <v>150.0000000000006</v>
      </c>
      <c r="M6" s="7">
        <f t="shared" si="3"/>
        <v>250.00000000000009</v>
      </c>
      <c r="N6" s="7">
        <f>IF(A6="",0,SUMIFS(tblAllowBonus[Amount],tblAllowBonus[Employee ID],A6,tblAllowBonus[Category],"Allowance",tblAllowBonus[Approved?],"Yes",tblAllowBonus[Pay Period],PeriodStart))</f>
        <v>200</v>
      </c>
      <c r="O6" s="7">
        <f>IF(A6="",0,SUMIFS(tblAllowBonus[Amount],tblAllowBonus[Employee ID],A6,tblAllowBonus[Category],"Bonus",tblAllowBonus[Approved?],"Yes",tblAllowBonus[Pay Period],PeriodStart))</f>
        <v>0</v>
      </c>
      <c r="P6" s="7">
        <f>IF(A6="",0,SUMIFS(tblAllowBonus[Amount],tblAllowBonus[Employee ID],A6,tblAllowBonus[Category],"Other",tblAllowBonus[Approved?],"Yes",tblAllowBonus[Pay Period],PeriodStart))</f>
        <v>0</v>
      </c>
      <c r="Q6" s="7">
        <f t="shared" si="4"/>
        <v>5800.0000000000009</v>
      </c>
      <c r="R6" s="27">
        <f>IF(A6="",0,SUMIFS(tblLeave[Number of Days],tblLeave[Employee ID],A6,tblLeave[Paid/Unpaid],"Unpaid",tblLeave[Approval Status],"Approved",tblLeave[Start Date],"&gt;="&amp;PeriodStart,tblLeave[End Date],"&lt;="&amp;PeriodEnd))</f>
        <v>0</v>
      </c>
      <c r="S6" s="7">
        <f t="shared" si="5"/>
        <v>0</v>
      </c>
      <c r="T6" s="7">
        <f>IF(A6="",0,SUMIFS(tblDedAssign[Deduction Amount],tblDedAssign[Employee ID],A6,tblDedAssign[Deduction ID],"D01",tblDedAssign[Active?],"Yes"))</f>
        <v>260</v>
      </c>
      <c r="U6" s="7">
        <f>IF(A6="",0,SUMIFS(tblDedAssign[Deduction Amount],tblDedAssign[Employee ID],A6,tblDedAssign[Deduction ID],"D02",tblDedAssign[Active?],"Yes"))</f>
        <v>0</v>
      </c>
      <c r="V6" s="7">
        <f>IF(A6="",0,SUMIFS(tblDedAssign[Deduction Amount],tblDedAssign[Employee ID],A6,tblDedAssign[Deduction ID],"D03",tblDedAssign[Active?],"Yes"))</f>
        <v>0</v>
      </c>
      <c r="W6" s="7">
        <f>IF(A6="",0,SUMIFS(tblDedAssign[Deduction Amount],tblDedAssign[Employee ID],A6,tblDedAssign[Deduction ID],"D04",tblDedAssign[Active?],"Yes"))</f>
        <v>0</v>
      </c>
      <c r="X6" s="7">
        <f>IF(A6="",0,SUMIFS(tblDedAssign[Deduction Amount],tblDedAssign[Employee ID],A6,tblDedAssign[Deduction ID],"D05",tblDedAssign[Active?],"Yes"))</f>
        <v>0</v>
      </c>
      <c r="Y6" s="7">
        <f>IF(A6="",0,SUMIFS(tblDedAssign[Deduction Amount],tblDedAssign[Employee ID],A6,tblDedAssign[Deduction ID],"D06",tblDedAssign[Active?],"Yes"))</f>
        <v>0</v>
      </c>
      <c r="Z6" s="7">
        <f t="shared" si="6"/>
        <v>260</v>
      </c>
      <c r="AA6" s="7">
        <f t="shared" si="7"/>
        <v>5540.0000000000009</v>
      </c>
      <c r="AB6" s="3" t="str">
        <f t="shared" si="8"/>
        <v>Calculated</v>
      </c>
    </row>
    <row r="7" spans="1:28" x14ac:dyDescent="0.25">
      <c r="A7" s="3" t="str">
        <f>IFERROR(INDEX(tblEmployees[Employee ID],3),"")</f>
        <v>E003</v>
      </c>
      <c r="B7" s="3" t="str">
        <f>IF(A7="","",IFERROR(INDEX(tblEmployees[Employee Name],MATCH(A7,tblEmployees[Employee ID],0)),""))</f>
        <v>Carla Mendes</v>
      </c>
      <c r="C7" s="3" t="str">
        <f>IF(A7="","",IFERROR(INDEX(tblEmployees[Department],MATCH(A7,tblEmployees[Employee ID],0)),""))</f>
        <v>Finance</v>
      </c>
      <c r="D7" s="3" t="str">
        <f>IF(A7="","",IFERROR(INDEX(tblEmployees[Job Title],MATCH(A7,tblEmployees[Employee ID],0)),""))</f>
        <v>Accountant</v>
      </c>
      <c r="E7" s="7">
        <f>IF(A7="",0,IFERROR(INDEX(tblEmployees[Monthly Basic Salary],MATCH(A7,tblEmployees[Employee ID],0)),0))</f>
        <v>5600</v>
      </c>
      <c r="F7" s="7">
        <f t="shared" si="0"/>
        <v>26.923076923076923</v>
      </c>
      <c r="G7" s="7">
        <f>IF(A7="",0,SUMIFS(tblAttendance[Regular Hours],tblAttendance[Employee ID],A7,tblAttendance[Date],"&gt;="&amp;PeriodStart,tblAttendance[Date],"&lt;="&amp;PeriodEnd))</f>
        <v>23.999999999999986</v>
      </c>
      <c r="H7" s="7">
        <f>IF(A7="",0,SUMIFS(tblAttendance[Overtime Hours],tblAttendance[Employee ID],A7,tblAttendance[Date],"&gt;="&amp;PeriodStart,tblAttendance[Date],"&lt;="&amp;PeriodEnd))</f>
        <v>0</v>
      </c>
      <c r="I7" s="7">
        <f>IF(A7="",0,SUMIFS(tblAttendance[Weekend Hours],tblAttendance[Employee ID],A7,tblAttendance[Date],"&gt;="&amp;PeriodStart,tblAttendance[Date],"&lt;="&amp;PeriodEnd))</f>
        <v>0</v>
      </c>
      <c r="J7" s="7">
        <f>IF(A7="",0,SUMIFS(tblAttendance[Public Holiday Hours],tblAttendance[Employee ID],A7,tblAttendance[Date],"&gt;="&amp;PeriodStart,tblAttendance[Date],"&lt;="&amp;PeriodEnd))</f>
        <v>0</v>
      </c>
      <c r="K7" s="7">
        <f t="shared" si="1"/>
        <v>0</v>
      </c>
      <c r="L7" s="7">
        <f t="shared" si="2"/>
        <v>0</v>
      </c>
      <c r="M7" s="7">
        <f t="shared" si="3"/>
        <v>0</v>
      </c>
      <c r="N7" s="7">
        <f>IF(A7="",0,SUMIFS(tblAllowBonus[Amount],tblAllowBonus[Employee ID],A7,tblAllowBonus[Category],"Allowance",tblAllowBonus[Approved?],"Yes",tblAllowBonus[Pay Period],PeriodStart))</f>
        <v>150</v>
      </c>
      <c r="O7" s="7">
        <f>IF(A7="",0,SUMIFS(tblAllowBonus[Amount],tblAllowBonus[Employee ID],A7,tblAllowBonus[Category],"Bonus",tblAllowBonus[Approved?],"Yes",tblAllowBonus[Pay Period],PeriodStart))</f>
        <v>300</v>
      </c>
      <c r="P7" s="7">
        <f>IF(A7="",0,SUMIFS(tblAllowBonus[Amount],tblAllowBonus[Employee ID],A7,tblAllowBonus[Category],"Other",tblAllowBonus[Approved?],"Yes",tblAllowBonus[Pay Period],PeriodStart))</f>
        <v>0</v>
      </c>
      <c r="Q7" s="7">
        <f t="shared" si="4"/>
        <v>6050</v>
      </c>
      <c r="R7" s="27">
        <f>IF(A7="",0,SUMIFS(tblLeave[Number of Days],tblLeave[Employee ID],A7,tblLeave[Paid/Unpaid],"Unpaid",tblLeave[Approval Status],"Approved",tblLeave[Start Date],"&gt;="&amp;PeriodStart,tblLeave[End Date],"&lt;="&amp;PeriodEnd))</f>
        <v>0</v>
      </c>
      <c r="S7" s="7">
        <f t="shared" si="5"/>
        <v>0</v>
      </c>
      <c r="T7" s="7">
        <f>IF(A7="",0,SUMIFS(tblDedAssign[Deduction Amount],tblDedAssign[Employee ID],A7,tblDedAssign[Deduction ID],"D01",tblDedAssign[Active?],"Yes"))</f>
        <v>280</v>
      </c>
      <c r="U7" s="7">
        <f>IF(A7="",0,SUMIFS(tblDedAssign[Deduction Amount],tblDedAssign[Employee ID],A7,tblDedAssign[Deduction ID],"D02",tblDedAssign[Active?],"Yes"))</f>
        <v>112</v>
      </c>
      <c r="V7" s="7">
        <f>IF(A7="",0,SUMIFS(tblDedAssign[Deduction Amount],tblDedAssign[Employee ID],A7,tblDedAssign[Deduction ID],"D03",tblDedAssign[Active?],"Yes"))</f>
        <v>0</v>
      </c>
      <c r="W7" s="7">
        <f>IF(A7="",0,SUMIFS(tblDedAssign[Deduction Amount],tblDedAssign[Employee ID],A7,tblDedAssign[Deduction ID],"D04",tblDedAssign[Active?],"Yes"))</f>
        <v>0</v>
      </c>
      <c r="X7" s="7">
        <f>IF(A7="",0,SUMIFS(tblDedAssign[Deduction Amount],tblDedAssign[Employee ID],A7,tblDedAssign[Deduction ID],"D05",tblDedAssign[Active?],"Yes"))</f>
        <v>0</v>
      </c>
      <c r="Y7" s="7">
        <f>IF(A7="",0,SUMIFS(tblDedAssign[Deduction Amount],tblDedAssign[Employee ID],A7,tblDedAssign[Deduction ID],"D06",tblDedAssign[Active?],"Yes"))</f>
        <v>0</v>
      </c>
      <c r="Z7" s="7">
        <f t="shared" si="6"/>
        <v>392</v>
      </c>
      <c r="AA7" s="7">
        <f t="shared" si="7"/>
        <v>5658</v>
      </c>
      <c r="AB7" s="3" t="str">
        <f t="shared" si="8"/>
        <v>Calculated</v>
      </c>
    </row>
    <row r="8" spans="1:28" x14ac:dyDescent="0.25">
      <c r="A8" s="3" t="str">
        <f>IFERROR(INDEX(tblEmployees[Employee ID],4),"")</f>
        <v>E004</v>
      </c>
      <c r="B8" s="3" t="str">
        <f>IF(A8="","",IFERROR(INDEX(tblEmployees[Employee Name],MATCH(A8,tblEmployees[Employee ID],0)),""))</f>
        <v>David Kim</v>
      </c>
      <c r="C8" s="3" t="str">
        <f>IF(A8="","",IFERROR(INDEX(tblEmployees[Department],MATCH(A8,tblEmployees[Employee ID],0)),""))</f>
        <v>IT &amp; Engineering</v>
      </c>
      <c r="D8" s="3" t="str">
        <f>IF(A8="","",IFERROR(INDEX(tblEmployees[Job Title],MATCH(A8,tblEmployees[Employee ID],0)),""))</f>
        <v>Software Engineer</v>
      </c>
      <c r="E8" s="7">
        <f>IF(A8="",0,IFERROR(INDEX(tblEmployees[Monthly Basic Salary],MATCH(A8,tblEmployees[Employee ID],0)),0))</f>
        <v>7800</v>
      </c>
      <c r="F8" s="7">
        <f t="shared" si="0"/>
        <v>37.5</v>
      </c>
      <c r="G8" s="7">
        <f>IF(A8="",0,SUMIFS(tblAttendance[Regular Hours],tblAttendance[Employee ID],A8,tblAttendance[Date],"&gt;="&amp;PeriodStart,tblAttendance[Date],"&lt;="&amp;PeriodEnd))</f>
        <v>15.999999999999989</v>
      </c>
      <c r="H8" s="7">
        <f>IF(A8="",0,SUMIFS(tblAttendance[Overtime Hours],tblAttendance[Employee ID],A8,tblAttendance[Date],"&gt;="&amp;PeriodStart,tblAttendance[Date],"&lt;="&amp;PeriodEnd))</f>
        <v>0</v>
      </c>
      <c r="I8" s="7">
        <f>IF(A8="",0,SUMIFS(tblAttendance[Weekend Hours],tblAttendance[Employee ID],A8,tblAttendance[Date],"&gt;="&amp;PeriodStart,tblAttendance[Date],"&lt;="&amp;PeriodEnd))</f>
        <v>0</v>
      </c>
      <c r="J8" s="7">
        <f>IF(A8="",0,SUMIFS(tblAttendance[Public Holiday Hours],tblAttendance[Employee ID],A8,tblAttendance[Date],"&gt;="&amp;PeriodStart,tblAttendance[Date],"&lt;="&amp;PeriodEnd))</f>
        <v>0</v>
      </c>
      <c r="K8" s="7">
        <f t="shared" si="1"/>
        <v>0</v>
      </c>
      <c r="L8" s="7">
        <f t="shared" si="2"/>
        <v>0</v>
      </c>
      <c r="M8" s="7">
        <f t="shared" si="3"/>
        <v>0</v>
      </c>
      <c r="N8" s="7">
        <f>IF(A8="",0,SUMIFS(tblAllowBonus[Amount],tblAllowBonus[Employee ID],A8,tblAllowBonus[Category],"Allowance",tblAllowBonus[Approved?],"Yes",tblAllowBonus[Pay Period],PeriodStart))</f>
        <v>100</v>
      </c>
      <c r="O8" s="7">
        <f>IF(A8="",0,SUMIFS(tblAllowBonus[Amount],tblAllowBonus[Employee ID],A8,tblAllowBonus[Category],"Bonus",tblAllowBonus[Approved?],"Yes",tblAllowBonus[Pay Period],PeriodStart))</f>
        <v>0</v>
      </c>
      <c r="P8" s="7">
        <f>IF(A8="",0,SUMIFS(tblAllowBonus[Amount],tblAllowBonus[Employee ID],A8,tblAllowBonus[Category],"Other",tblAllowBonus[Approved?],"Yes",tblAllowBonus[Pay Period],PeriodStart))</f>
        <v>0</v>
      </c>
      <c r="Q8" s="7">
        <f t="shared" si="4"/>
        <v>7900</v>
      </c>
      <c r="R8" s="27">
        <f>IF(A8="",0,SUMIFS(tblLeave[Number of Days],tblLeave[Employee ID],A8,tblLeave[Paid/Unpaid],"Unpaid",tblLeave[Approval Status],"Approved",tblLeave[Start Date],"&gt;="&amp;PeriodStart,tblLeave[End Date],"&lt;="&amp;PeriodEnd))</f>
        <v>0</v>
      </c>
      <c r="S8" s="7">
        <f t="shared" si="5"/>
        <v>0</v>
      </c>
      <c r="T8" s="7">
        <f>IF(A8="",0,SUMIFS(tblDedAssign[Deduction Amount],tblDedAssign[Employee ID],A8,tblDedAssign[Deduction ID],"D01",tblDedAssign[Active?],"Yes"))</f>
        <v>0</v>
      </c>
      <c r="U8" s="7">
        <f>IF(A8="",0,SUMIFS(tblDedAssign[Deduction Amount],tblDedAssign[Employee ID],A8,tblDedAssign[Deduction ID],"D02",tblDedAssign[Active?],"Yes"))</f>
        <v>0</v>
      </c>
      <c r="V8" s="7">
        <f>IF(A8="",0,SUMIFS(tblDedAssign[Deduction Amount],tblDedAssign[Employee ID],A8,tblDedAssign[Deduction ID],"D03",tblDedAssign[Active?],"Yes"))</f>
        <v>0</v>
      </c>
      <c r="W8" s="7">
        <f>IF(A8="",0,SUMIFS(tblDedAssign[Deduction Amount],tblDedAssign[Employee ID],A8,tblDedAssign[Deduction ID],"D04",tblDedAssign[Active?],"Yes"))</f>
        <v>234</v>
      </c>
      <c r="X8" s="7">
        <f>IF(A8="",0,SUMIFS(tblDedAssign[Deduction Amount],tblDedAssign[Employee ID],A8,tblDedAssign[Deduction ID],"D05",tblDedAssign[Active?],"Yes"))</f>
        <v>0</v>
      </c>
      <c r="Y8" s="7">
        <f>IF(A8="",0,SUMIFS(tblDedAssign[Deduction Amount],tblDedAssign[Employee ID],A8,tblDedAssign[Deduction ID],"D06",tblDedAssign[Active?],"Yes"))</f>
        <v>0</v>
      </c>
      <c r="Z8" s="7">
        <f t="shared" si="6"/>
        <v>234</v>
      </c>
      <c r="AA8" s="7">
        <f t="shared" si="7"/>
        <v>7666</v>
      </c>
      <c r="AB8" s="3" t="str">
        <f t="shared" si="8"/>
        <v>Calculated</v>
      </c>
    </row>
    <row r="9" spans="1:28" x14ac:dyDescent="0.25">
      <c r="A9" s="3" t="str">
        <f>IFERROR(INDEX(tblEmployees[Employee ID],5),"")</f>
        <v>E005</v>
      </c>
      <c r="B9" s="3" t="str">
        <f>IF(A9="","",IFERROR(INDEX(tblEmployees[Employee Name],MATCH(A9,tblEmployees[Employee ID],0)),""))</f>
        <v>Elena Petrova</v>
      </c>
      <c r="C9" s="3" t="str">
        <f>IF(A9="","",IFERROR(INDEX(tblEmployees[Department],MATCH(A9,tblEmployees[Employee ID],0)),""))</f>
        <v>Sales</v>
      </c>
      <c r="D9" s="3" t="str">
        <f>IF(A9="","",IFERROR(INDEX(tblEmployees[Job Title],MATCH(A9,tblEmployees[Employee ID],0)),""))</f>
        <v>Sales Associate</v>
      </c>
      <c r="E9" s="7">
        <f>IF(A9="",0,IFERROR(INDEX(tblEmployees[Monthly Basic Salary],MATCH(A9,tblEmployees[Employee ID],0)),0))</f>
        <v>4100</v>
      </c>
      <c r="F9" s="7">
        <f t="shared" si="0"/>
        <v>19.71153846153846</v>
      </c>
      <c r="G9" s="7">
        <f>IF(A9="",0,SUMIFS(tblAttendance[Regular Hours],tblAttendance[Employee ID],A9,tblAttendance[Date],"&gt;="&amp;PeriodStart,tblAttendance[Date],"&lt;="&amp;PeriodEnd))</f>
        <v>23.999999999999986</v>
      </c>
      <c r="H9" s="7">
        <f>IF(A9="",0,SUMIFS(tblAttendance[Overtime Hours],tblAttendance[Employee ID],A9,tblAttendance[Date],"&gt;="&amp;PeriodStart,tblAttendance[Date],"&lt;="&amp;PeriodEnd))</f>
        <v>0</v>
      </c>
      <c r="I9" s="7">
        <f>IF(A9="",0,SUMIFS(tblAttendance[Weekend Hours],tblAttendance[Employee ID],A9,tblAttendance[Date],"&gt;="&amp;PeriodStart,tblAttendance[Date],"&lt;="&amp;PeriodEnd))</f>
        <v>0</v>
      </c>
      <c r="J9" s="7">
        <f>IF(A9="",0,SUMIFS(tblAttendance[Public Holiday Hours],tblAttendance[Employee ID],A9,tblAttendance[Date],"&gt;="&amp;PeriodStart,tblAttendance[Date],"&lt;="&amp;PeriodEnd))</f>
        <v>0</v>
      </c>
      <c r="K9" s="7">
        <f t="shared" si="1"/>
        <v>0</v>
      </c>
      <c r="L9" s="7">
        <f t="shared" si="2"/>
        <v>0</v>
      </c>
      <c r="M9" s="7">
        <f t="shared" si="3"/>
        <v>0</v>
      </c>
      <c r="N9" s="7">
        <f>IF(A9="",0,SUMIFS(tblAllowBonus[Amount],tblAllowBonus[Employee ID],A9,tblAllowBonus[Category],"Allowance",tblAllowBonus[Approved?],"Yes",tblAllowBonus[Pay Period],PeriodStart))</f>
        <v>0</v>
      </c>
      <c r="O9" s="7">
        <f>IF(A9="",0,SUMIFS(tblAllowBonus[Amount],tblAllowBonus[Employee ID],A9,tblAllowBonus[Category],"Bonus",tblAllowBonus[Approved?],"Yes",tblAllowBonus[Pay Period],PeriodStart))</f>
        <v>0</v>
      </c>
      <c r="P9" s="7">
        <f>IF(A9="",0,SUMIFS(tblAllowBonus[Amount],tblAllowBonus[Employee ID],A9,tblAllowBonus[Category],"Other",tblAllowBonus[Approved?],"Yes",tblAllowBonus[Pay Period],PeriodStart))</f>
        <v>0</v>
      </c>
      <c r="Q9" s="7">
        <f t="shared" si="4"/>
        <v>4100</v>
      </c>
      <c r="R9" s="27">
        <f>IF(A9="",0,SUMIFS(tblLeave[Number of Days],tblLeave[Employee ID],A9,tblLeave[Paid/Unpaid],"Unpaid",tblLeave[Approval Status],"Approved",tblLeave[Start Date],"&gt;="&amp;PeriodStart,tblLeave[End Date],"&lt;="&amp;PeriodEnd))</f>
        <v>3</v>
      </c>
      <c r="S9" s="7">
        <f t="shared" si="5"/>
        <v>473.07692307692304</v>
      </c>
      <c r="T9" s="7">
        <f>IF(A9="",0,SUMIFS(tblDedAssign[Deduction Amount],tblDedAssign[Employee ID],A9,tblDedAssign[Deduction ID],"D01",tblDedAssign[Active?],"Yes"))</f>
        <v>0</v>
      </c>
      <c r="U9" s="7">
        <f>IF(A9="",0,SUMIFS(tblDedAssign[Deduction Amount],tblDedAssign[Employee ID],A9,tblDedAssign[Deduction ID],"D02",tblDedAssign[Active?],"Yes"))</f>
        <v>0</v>
      </c>
      <c r="V9" s="7">
        <f>IF(A9="",0,SUMIFS(tblDedAssign[Deduction Amount],tblDedAssign[Employee ID],A9,tblDedAssign[Deduction ID],"D03",tblDedAssign[Active?],"Yes"))</f>
        <v>0</v>
      </c>
      <c r="W9" s="7">
        <f>IF(A9="",0,SUMIFS(tblDedAssign[Deduction Amount],tblDedAssign[Employee ID],A9,tblDedAssign[Deduction ID],"D04",tblDedAssign[Active?],"Yes"))</f>
        <v>0</v>
      </c>
      <c r="X9" s="7">
        <f>IF(A9="",0,SUMIFS(tblDedAssign[Deduction Amount],tblDedAssign[Employee ID],A9,tblDedAssign[Deduction ID],"D05",tblDedAssign[Active?],"Yes"))</f>
        <v>0</v>
      </c>
      <c r="Y9" s="7">
        <f>IF(A9="",0,SUMIFS(tblDedAssign[Deduction Amount],tblDedAssign[Employee ID],A9,tblDedAssign[Deduction ID],"D06",tblDedAssign[Active?],"Yes"))</f>
        <v>0</v>
      </c>
      <c r="Z9" s="7">
        <f t="shared" si="6"/>
        <v>0</v>
      </c>
      <c r="AA9" s="7">
        <f t="shared" si="7"/>
        <v>3626.9230769230771</v>
      </c>
      <c r="AB9" s="3" t="str">
        <f t="shared" si="8"/>
        <v>Calculated</v>
      </c>
    </row>
    <row r="10" spans="1:28" x14ac:dyDescent="0.25">
      <c r="A10" s="3" t="str">
        <f>IFERROR(INDEX(tblEmployees[Employee ID],6),"")</f>
        <v>E006</v>
      </c>
      <c r="B10" s="3" t="str">
        <f>IF(A10="","",IFERROR(INDEX(tblEmployees[Employee Name],MATCH(A10,tblEmployees[Employee ID],0)),""))</f>
        <v>Farhan Ali</v>
      </c>
      <c r="C10" s="3" t="str">
        <f>IF(A10="","",IFERROR(INDEX(tblEmployees[Department],MATCH(A10,tblEmployees[Employee ID],0)),""))</f>
        <v>Operations</v>
      </c>
      <c r="D10" s="3" t="str">
        <f>IF(A10="","",IFERROR(INDEX(tblEmployees[Job Title],MATCH(A10,tblEmployees[Employee ID],0)),""))</f>
        <v>Forklift Operator</v>
      </c>
      <c r="E10" s="7">
        <f>IF(A10="",0,IFERROR(INDEX(tblEmployees[Monthly Basic Salary],MATCH(A10,tblEmployees[Employee ID],0)),0))</f>
        <v>3900</v>
      </c>
      <c r="F10" s="7">
        <f t="shared" si="0"/>
        <v>18.75</v>
      </c>
      <c r="G10" s="7">
        <f>IF(A10="",0,SUMIFS(tblAttendance[Regular Hours],tblAttendance[Employee ID],A10,tblAttendance[Date],"&gt;="&amp;PeriodStart,tblAttendance[Date],"&lt;="&amp;PeriodEnd))</f>
        <v>15.166666666666647</v>
      </c>
      <c r="H10" s="7">
        <f>IF(A10="",0,SUMIFS(tblAttendance[Overtime Hours],tblAttendance[Employee ID],A10,tblAttendance[Date],"&gt;="&amp;PeriodStart,tblAttendance[Date],"&lt;="&amp;PeriodEnd))</f>
        <v>0</v>
      </c>
      <c r="I10" s="7">
        <f>IF(A10="",0,SUMIFS(tblAttendance[Weekend Hours],tblAttendance[Employee ID],A10,tblAttendance[Date],"&gt;="&amp;PeriodStart,tblAttendance[Date],"&lt;="&amp;PeriodEnd))</f>
        <v>0</v>
      </c>
      <c r="J10" s="7">
        <f>IF(A10="",0,SUMIFS(tblAttendance[Public Holiday Hours],tblAttendance[Employee ID],A10,tblAttendance[Date],"&gt;="&amp;PeriodStart,tblAttendance[Date],"&lt;="&amp;PeriodEnd))</f>
        <v>0</v>
      </c>
      <c r="K10" s="7">
        <f t="shared" si="1"/>
        <v>0</v>
      </c>
      <c r="L10" s="7">
        <f t="shared" si="2"/>
        <v>0</v>
      </c>
      <c r="M10" s="7">
        <f t="shared" si="3"/>
        <v>0</v>
      </c>
      <c r="N10" s="7">
        <f>IF(A10="",0,SUMIFS(tblAllowBonus[Amount],tblAllowBonus[Employee ID],A10,tblAllowBonus[Category],"Allowance",tblAllowBonus[Approved?],"Yes",tblAllowBonus[Pay Period],PeriodStart))</f>
        <v>250</v>
      </c>
      <c r="O10" s="7">
        <f>IF(A10="",0,SUMIFS(tblAllowBonus[Amount],tblAllowBonus[Employee ID],A10,tblAllowBonus[Category],"Bonus",tblAllowBonus[Approved?],"Yes",tblAllowBonus[Pay Period],PeriodStart))</f>
        <v>0</v>
      </c>
      <c r="P10" s="7">
        <f>IF(A10="",0,SUMIFS(tblAllowBonus[Amount],tblAllowBonus[Employee ID],A10,tblAllowBonus[Category],"Other",tblAllowBonus[Approved?],"Yes",tblAllowBonus[Pay Period],PeriodStart))</f>
        <v>0</v>
      </c>
      <c r="Q10" s="7">
        <f t="shared" si="4"/>
        <v>4150</v>
      </c>
      <c r="R10" s="27">
        <f>IF(A10="",0,SUMIFS(tblLeave[Number of Days],tblLeave[Employee ID],A10,tblLeave[Paid/Unpaid],"Unpaid",tblLeave[Approval Status],"Approved",tblLeave[Start Date],"&gt;="&amp;PeriodStart,tblLeave[End Date],"&lt;="&amp;PeriodEnd))</f>
        <v>0</v>
      </c>
      <c r="S10" s="7">
        <f t="shared" si="5"/>
        <v>0</v>
      </c>
      <c r="T10" s="7">
        <f>IF(A10="",0,SUMIFS(tblDedAssign[Deduction Amount],tblDedAssign[Employee ID],A10,tblDedAssign[Deduction ID],"D01",tblDedAssign[Active?],"Yes"))</f>
        <v>0</v>
      </c>
      <c r="U10" s="7">
        <f>IF(A10="",0,SUMIFS(tblDedAssign[Deduction Amount],tblDedAssign[Employee ID],A10,tblDedAssign[Deduction ID],"D02",tblDedAssign[Active?],"Yes"))</f>
        <v>0</v>
      </c>
      <c r="V10" s="7">
        <f>IF(A10="",0,SUMIFS(tblDedAssign[Deduction Amount],tblDedAssign[Employee ID],A10,tblDedAssign[Deduction ID],"D03",tblDedAssign[Active?],"Yes"))</f>
        <v>0</v>
      </c>
      <c r="W10" s="7">
        <f>IF(A10="",0,SUMIFS(tblDedAssign[Deduction Amount],tblDedAssign[Employee ID],A10,tblDedAssign[Deduction ID],"D04",tblDedAssign[Active?],"Yes"))</f>
        <v>0</v>
      </c>
      <c r="X10" s="7">
        <f>IF(A10="",0,SUMIFS(tblDedAssign[Deduction Amount],tblDedAssign[Employee ID],A10,tblDedAssign[Deduction ID],"D05",tblDedAssign[Active?],"Yes"))</f>
        <v>0</v>
      </c>
      <c r="Y10" s="7">
        <f>IF(A10="",0,SUMIFS(tblDedAssign[Deduction Amount],tblDedAssign[Employee ID],A10,tblDedAssign[Deduction ID],"D06",tblDedAssign[Active?],"Yes"))</f>
        <v>0</v>
      </c>
      <c r="Z10" s="7">
        <f t="shared" si="6"/>
        <v>0</v>
      </c>
      <c r="AA10" s="7">
        <f t="shared" si="7"/>
        <v>4150</v>
      </c>
      <c r="AB10" s="3" t="str">
        <f t="shared" si="8"/>
        <v>Calculated</v>
      </c>
    </row>
    <row r="11" spans="1:28" x14ac:dyDescent="0.25">
      <c r="A11" s="3" t="str">
        <f>IFERROR(INDEX(tblEmployees[Employee ID],7),"")</f>
        <v>E007</v>
      </c>
      <c r="B11" s="3" t="str">
        <f>IF(A11="","",IFERROR(INDEX(tblEmployees[Employee Name],MATCH(A11,tblEmployees[Employee ID],0)),""))</f>
        <v>Grace Njoroge</v>
      </c>
      <c r="C11" s="3" t="str">
        <f>IF(A11="","",IFERROR(INDEX(tblEmployees[Department],MATCH(A11,tblEmployees[Employee ID],0)),""))</f>
        <v>Operations</v>
      </c>
      <c r="D11" s="3" t="str">
        <f>IF(A11="","",IFERROR(INDEX(tblEmployees[Job Title],MATCH(A11,tblEmployees[Employee ID],0)),""))</f>
        <v>Warehouse Manager</v>
      </c>
      <c r="E11" s="7">
        <f>IF(A11="",0,IFERROR(INDEX(tblEmployees[Monthly Basic Salary],MATCH(A11,tblEmployees[Employee ID],0)),0))</f>
        <v>6500</v>
      </c>
      <c r="F11" s="7">
        <f t="shared" si="0"/>
        <v>31.25</v>
      </c>
      <c r="G11" s="7">
        <f>IF(A11="",0,SUMIFS(tblAttendance[Regular Hours],tblAttendance[Employee ID],A11,tblAttendance[Date],"&gt;="&amp;PeriodStart,tblAttendance[Date],"&lt;="&amp;PeriodEnd))</f>
        <v>15.999999999999989</v>
      </c>
      <c r="H11" s="7">
        <f>IF(A11="",0,SUMIFS(tblAttendance[Overtime Hours],tblAttendance[Employee ID],A11,tblAttendance[Date],"&gt;="&amp;PeriodStart,tblAttendance[Date],"&lt;="&amp;PeriodEnd))</f>
        <v>0</v>
      </c>
      <c r="I11" s="7">
        <f>IF(A11="",0,SUMIFS(tblAttendance[Weekend Hours],tblAttendance[Employee ID],A11,tblAttendance[Date],"&gt;="&amp;PeriodStart,tblAttendance[Date],"&lt;="&amp;PeriodEnd))</f>
        <v>0</v>
      </c>
      <c r="J11" s="7">
        <f>IF(A11="",0,SUMIFS(tblAttendance[Public Holiday Hours],tblAttendance[Employee ID],A11,tblAttendance[Date],"&gt;="&amp;PeriodStart,tblAttendance[Date],"&lt;="&amp;PeriodEnd))</f>
        <v>0</v>
      </c>
      <c r="K11" s="7">
        <f t="shared" si="1"/>
        <v>0</v>
      </c>
      <c r="L11" s="7">
        <f t="shared" si="2"/>
        <v>0</v>
      </c>
      <c r="M11" s="7">
        <f t="shared" si="3"/>
        <v>0</v>
      </c>
      <c r="N11" s="7">
        <f>IF(A11="",0,SUMIFS(tblAllowBonus[Amount],tblAllowBonus[Employee ID],A11,tblAllowBonus[Category],"Allowance",tblAllowBonus[Approved?],"Yes",tblAllowBonus[Pay Period],PeriodStart))</f>
        <v>0</v>
      </c>
      <c r="O11" s="7">
        <f>IF(A11="",0,SUMIFS(tblAllowBonus[Amount],tblAllowBonus[Employee ID],A11,tblAllowBonus[Category],"Bonus",tblAllowBonus[Approved?],"Yes",tblAllowBonus[Pay Period],PeriodStart))</f>
        <v>200</v>
      </c>
      <c r="P11" s="7">
        <f>IF(A11="",0,SUMIFS(tblAllowBonus[Amount],tblAllowBonus[Employee ID],A11,tblAllowBonus[Category],"Other",tblAllowBonus[Approved?],"Yes",tblAllowBonus[Pay Period],PeriodStart))</f>
        <v>0</v>
      </c>
      <c r="Q11" s="7">
        <f t="shared" si="4"/>
        <v>6700</v>
      </c>
      <c r="R11" s="27">
        <f>IF(A11="",0,SUMIFS(tblLeave[Number of Days],tblLeave[Employee ID],A11,tblLeave[Paid/Unpaid],"Unpaid",tblLeave[Approval Status],"Approved",tblLeave[Start Date],"&gt;="&amp;PeriodStart,tblLeave[End Date],"&lt;="&amp;PeriodEnd))</f>
        <v>0</v>
      </c>
      <c r="S11" s="7">
        <f t="shared" si="5"/>
        <v>0</v>
      </c>
      <c r="T11" s="7">
        <f>IF(A11="",0,SUMIFS(tblDedAssign[Deduction Amount],tblDedAssign[Employee ID],A11,tblDedAssign[Deduction ID],"D01",tblDedAssign[Active?],"Yes"))</f>
        <v>325</v>
      </c>
      <c r="U11" s="7">
        <f>IF(A11="",0,SUMIFS(tblDedAssign[Deduction Amount],tblDedAssign[Employee ID],A11,tblDedAssign[Deduction ID],"D02",tblDedAssign[Active?],"Yes"))</f>
        <v>0</v>
      </c>
      <c r="V11" s="7">
        <f>IF(A11="",0,SUMIFS(tblDedAssign[Deduction Amount],tblDedAssign[Employee ID],A11,tblDedAssign[Deduction ID],"D03",tblDedAssign[Active?],"Yes"))</f>
        <v>0</v>
      </c>
      <c r="W11" s="7">
        <f>IF(A11="",0,SUMIFS(tblDedAssign[Deduction Amount],tblDedAssign[Employee ID],A11,tblDedAssign[Deduction ID],"D04",tblDedAssign[Active?],"Yes"))</f>
        <v>0</v>
      </c>
      <c r="X11" s="7">
        <f>IF(A11="",0,SUMIFS(tblDedAssign[Deduction Amount],tblDedAssign[Employee ID],A11,tblDedAssign[Deduction ID],"D05",tblDedAssign[Active?],"Yes"))</f>
        <v>0</v>
      </c>
      <c r="Y11" s="7">
        <f>IF(A11="",0,SUMIFS(tblDedAssign[Deduction Amount],tblDedAssign[Employee ID],A11,tblDedAssign[Deduction ID],"D06",tblDedAssign[Active?],"Yes"))</f>
        <v>0</v>
      </c>
      <c r="Z11" s="7">
        <f t="shared" si="6"/>
        <v>325</v>
      </c>
      <c r="AA11" s="7">
        <f t="shared" si="7"/>
        <v>6375</v>
      </c>
      <c r="AB11" s="3" t="str">
        <f t="shared" si="8"/>
        <v>Calculated</v>
      </c>
    </row>
    <row r="12" spans="1:28" x14ac:dyDescent="0.25">
      <c r="A12" s="3" t="str">
        <f>IFERROR(INDEX(tblEmployees[Employee ID],8),"")</f>
        <v>E008</v>
      </c>
      <c r="B12" s="3" t="str">
        <f>IF(A12="","",IFERROR(INDEX(tblEmployees[Employee Name],MATCH(A12,tblEmployees[Employee ID],0)),""))</f>
        <v>Hiro Tanaka</v>
      </c>
      <c r="C12" s="3" t="str">
        <f>IF(A12="","",IFERROR(INDEX(tblEmployees[Department],MATCH(A12,tblEmployees[Employee ID],0)),""))</f>
        <v>IT &amp; Engineering</v>
      </c>
      <c r="D12" s="3" t="str">
        <f>IF(A12="","",IFERROR(INDEX(tblEmployees[Job Title],MATCH(A12,tblEmployees[Employee ID],0)),""))</f>
        <v>IT Support Technician</v>
      </c>
      <c r="E12" s="7">
        <f>IF(A12="",0,IFERROR(INDEX(tblEmployees[Monthly Basic Salary],MATCH(A12,tblEmployees[Employee ID],0)),0))</f>
        <v>4700</v>
      </c>
      <c r="F12" s="7">
        <f t="shared" si="0"/>
        <v>22.596153846153847</v>
      </c>
      <c r="G12" s="7">
        <f>IF(A12="",0,SUMIFS(tblAttendance[Regular Hours],tblAttendance[Employee ID],A12,tblAttendance[Date],"&gt;="&amp;PeriodStart,tblAttendance[Date],"&lt;="&amp;PeriodEnd))</f>
        <v>15.999999999999989</v>
      </c>
      <c r="H12" s="7">
        <f>IF(A12="",0,SUMIFS(tblAttendance[Overtime Hours],tblAttendance[Employee ID],A12,tblAttendance[Date],"&gt;="&amp;PeriodStart,tblAttendance[Date],"&lt;="&amp;PeriodEnd))</f>
        <v>0</v>
      </c>
      <c r="I12" s="7">
        <f>IF(A12="",0,SUMIFS(tblAttendance[Weekend Hours],tblAttendance[Employee ID],A12,tblAttendance[Date],"&gt;="&amp;PeriodStart,tblAttendance[Date],"&lt;="&amp;PeriodEnd))</f>
        <v>0</v>
      </c>
      <c r="J12" s="7">
        <f>IF(A12="",0,SUMIFS(tblAttendance[Public Holiday Hours],tblAttendance[Employee ID],A12,tblAttendance[Date],"&gt;="&amp;PeriodStart,tblAttendance[Date],"&lt;="&amp;PeriodEnd))</f>
        <v>0</v>
      </c>
      <c r="K12" s="7">
        <f t="shared" si="1"/>
        <v>0</v>
      </c>
      <c r="L12" s="7">
        <f t="shared" si="2"/>
        <v>0</v>
      </c>
      <c r="M12" s="7">
        <f t="shared" si="3"/>
        <v>0</v>
      </c>
      <c r="N12" s="7">
        <f>IF(A12="",0,SUMIFS(tblAllowBonus[Amount],tblAllowBonus[Employee ID],A12,tblAllowBonus[Category],"Allowance",tblAllowBonus[Approved?],"Yes",tblAllowBonus[Pay Period],PeriodStart))</f>
        <v>0</v>
      </c>
      <c r="O12" s="7">
        <f>IF(A12="",0,SUMIFS(tblAllowBonus[Amount],tblAllowBonus[Employee ID],A12,tblAllowBonus[Category],"Bonus",tblAllowBonus[Approved?],"Yes",tblAllowBonus[Pay Period],PeriodStart))</f>
        <v>0</v>
      </c>
      <c r="P12" s="7">
        <f>IF(A12="",0,SUMIFS(tblAllowBonus[Amount],tblAllowBonus[Employee ID],A12,tblAllowBonus[Category],"Other",tblAllowBonus[Approved?],"Yes",tblAllowBonus[Pay Period],PeriodStart))</f>
        <v>0</v>
      </c>
      <c r="Q12" s="7">
        <f t="shared" si="4"/>
        <v>4700</v>
      </c>
      <c r="R12" s="27">
        <f>IF(A12="",0,SUMIFS(tblLeave[Number of Days],tblLeave[Employee ID],A12,tblLeave[Paid/Unpaid],"Unpaid",tblLeave[Approval Status],"Approved",tblLeave[Start Date],"&gt;="&amp;PeriodStart,tblLeave[End Date],"&lt;="&amp;PeriodEnd))</f>
        <v>0</v>
      </c>
      <c r="S12" s="7">
        <f t="shared" si="5"/>
        <v>0</v>
      </c>
      <c r="T12" s="7">
        <f>IF(A12="",0,SUMIFS(tblDedAssign[Deduction Amount],tblDedAssign[Employee ID],A12,tblDedAssign[Deduction ID],"D01",tblDedAssign[Active?],"Yes"))</f>
        <v>0</v>
      </c>
      <c r="U12" s="7">
        <f>IF(A12="",0,SUMIFS(tblDedAssign[Deduction Amount],tblDedAssign[Employee ID],A12,tblDedAssign[Deduction ID],"D02",tblDedAssign[Active?],"Yes"))</f>
        <v>0</v>
      </c>
      <c r="V12" s="7">
        <f>IF(A12="",0,SUMIFS(tblDedAssign[Deduction Amount],tblDedAssign[Employee ID],A12,tblDedAssign[Deduction ID],"D03",tblDedAssign[Active?],"Yes"))</f>
        <v>0</v>
      </c>
      <c r="W12" s="7">
        <f>IF(A12="",0,SUMIFS(tblDedAssign[Deduction Amount],tblDedAssign[Employee ID],A12,tblDedAssign[Deduction ID],"D04",tblDedAssign[Active?],"Yes"))</f>
        <v>0</v>
      </c>
      <c r="X12" s="7">
        <f>IF(A12="",0,SUMIFS(tblDedAssign[Deduction Amount],tblDedAssign[Employee ID],A12,tblDedAssign[Deduction ID],"D05",tblDedAssign[Active?],"Yes"))</f>
        <v>150</v>
      </c>
      <c r="Y12" s="7">
        <f>IF(A12="",0,SUMIFS(tblDedAssign[Deduction Amount],tblDedAssign[Employee ID],A12,tblDedAssign[Deduction ID],"D06",tblDedAssign[Active?],"Yes"))</f>
        <v>0</v>
      </c>
      <c r="Z12" s="7">
        <f t="shared" si="6"/>
        <v>150</v>
      </c>
      <c r="AA12" s="7">
        <f t="shared" si="7"/>
        <v>4550</v>
      </c>
      <c r="AB12" s="3" t="str">
        <f t="shared" si="8"/>
        <v>Calculated</v>
      </c>
    </row>
    <row r="13" spans="1:28" x14ac:dyDescent="0.25">
      <c r="A13" s="3" t="str">
        <f>IFERROR(INDEX(tblEmployees[Employee ID],9),"")</f>
        <v>E009</v>
      </c>
      <c r="B13" s="3" t="str">
        <f>IF(A13="","",IFERROR(INDEX(tblEmployees[Employee Name],MATCH(A13,tblEmployees[Employee ID],0)),""))</f>
        <v>Isabella Rossi</v>
      </c>
      <c r="C13" s="3" t="str">
        <f>IF(A13="","",IFERROR(INDEX(tblEmployees[Department],MATCH(A13,tblEmployees[Employee ID],0)),""))</f>
        <v>Human Resources</v>
      </c>
      <c r="D13" s="3" t="str">
        <f>IF(A13="","",IFERROR(INDEX(tblEmployees[Job Title],MATCH(A13,tblEmployees[Employee ID],0)),""))</f>
        <v>HR Coordinator</v>
      </c>
      <c r="E13" s="7">
        <f>IF(A13="",0,IFERROR(INDEX(tblEmployees[Monthly Basic Salary],MATCH(A13,tblEmployees[Employee ID],0)),0))</f>
        <v>4500</v>
      </c>
      <c r="F13" s="7">
        <f t="shared" si="0"/>
        <v>21.634615384615383</v>
      </c>
      <c r="G13" s="7">
        <f>IF(A13="",0,SUMIFS(tblAttendance[Regular Hours],tblAttendance[Employee ID],A13,tblAttendance[Date],"&gt;="&amp;PeriodStart,tblAttendance[Date],"&lt;="&amp;PeriodEnd))</f>
        <v>15.999999999999989</v>
      </c>
      <c r="H13" s="7">
        <f>IF(A13="",0,SUMIFS(tblAttendance[Overtime Hours],tblAttendance[Employee ID],A13,tblAttendance[Date],"&gt;="&amp;PeriodStart,tblAttendance[Date],"&lt;="&amp;PeriodEnd))</f>
        <v>0</v>
      </c>
      <c r="I13" s="7">
        <f>IF(A13="",0,SUMIFS(tblAttendance[Weekend Hours],tblAttendance[Employee ID],A13,tblAttendance[Date],"&gt;="&amp;PeriodStart,tblAttendance[Date],"&lt;="&amp;PeriodEnd))</f>
        <v>0</v>
      </c>
      <c r="J13" s="7">
        <f>IF(A13="",0,SUMIFS(tblAttendance[Public Holiday Hours],tblAttendance[Employee ID],A13,tblAttendance[Date],"&gt;="&amp;PeriodStart,tblAttendance[Date],"&lt;="&amp;PeriodEnd))</f>
        <v>0</v>
      </c>
      <c r="K13" s="7">
        <f t="shared" si="1"/>
        <v>0</v>
      </c>
      <c r="L13" s="7">
        <f t="shared" si="2"/>
        <v>0</v>
      </c>
      <c r="M13" s="7">
        <f t="shared" si="3"/>
        <v>0</v>
      </c>
      <c r="N13" s="7">
        <f>IF(A13="",0,SUMIFS(tblAllowBonus[Amount],tblAllowBonus[Employee ID],A13,tblAllowBonus[Category],"Allowance",tblAllowBonus[Approved?],"Yes",tblAllowBonus[Pay Period],PeriodStart))</f>
        <v>0</v>
      </c>
      <c r="O13" s="7">
        <f>IF(A13="",0,SUMIFS(tblAllowBonus[Amount],tblAllowBonus[Employee ID],A13,tblAllowBonus[Category],"Bonus",tblAllowBonus[Approved?],"Yes",tblAllowBonus[Pay Period],PeriodStart))</f>
        <v>0</v>
      </c>
      <c r="P13" s="7">
        <f>IF(A13="",0,SUMIFS(tblAllowBonus[Amount],tblAllowBonus[Employee ID],A13,tblAllowBonus[Category],"Other",tblAllowBonus[Approved?],"Yes",tblAllowBonus[Pay Period],PeriodStart))</f>
        <v>0</v>
      </c>
      <c r="Q13" s="7">
        <f t="shared" si="4"/>
        <v>4500</v>
      </c>
      <c r="R13" s="27">
        <f>IF(A13="",0,SUMIFS(tblLeave[Number of Days],tblLeave[Employee ID],A13,tblLeave[Paid/Unpaid],"Unpaid",tblLeave[Approval Status],"Approved",tblLeave[Start Date],"&gt;="&amp;PeriodStart,tblLeave[End Date],"&lt;="&amp;PeriodEnd))</f>
        <v>0</v>
      </c>
      <c r="S13" s="7">
        <f t="shared" si="5"/>
        <v>0</v>
      </c>
      <c r="T13" s="7">
        <f>IF(A13="",0,SUMIFS(tblDedAssign[Deduction Amount],tblDedAssign[Employee ID],A13,tblDedAssign[Deduction ID],"D01",tblDedAssign[Active?],"Yes"))</f>
        <v>0</v>
      </c>
      <c r="U13" s="7">
        <f>IF(A13="",0,SUMIFS(tblDedAssign[Deduction Amount],tblDedAssign[Employee ID],A13,tblDedAssign[Deduction ID],"D02",tblDedAssign[Active?],"Yes"))</f>
        <v>0</v>
      </c>
      <c r="V13" s="7">
        <f>IF(A13="",0,SUMIFS(tblDedAssign[Deduction Amount],tblDedAssign[Employee ID],A13,tblDedAssign[Deduction ID],"D03",tblDedAssign[Active?],"Yes"))</f>
        <v>0</v>
      </c>
      <c r="W13" s="7">
        <f>IF(A13="",0,SUMIFS(tblDedAssign[Deduction Amount],tblDedAssign[Employee ID],A13,tblDedAssign[Deduction ID],"D04",tblDedAssign[Active?],"Yes"))</f>
        <v>0</v>
      </c>
      <c r="X13" s="7">
        <f>IF(A13="",0,SUMIFS(tblDedAssign[Deduction Amount],tblDedAssign[Employee ID],A13,tblDedAssign[Deduction ID],"D05",tblDedAssign[Active?],"Yes"))</f>
        <v>0</v>
      </c>
      <c r="Y13" s="7">
        <f>IF(A13="",0,SUMIFS(tblDedAssign[Deduction Amount],tblDedAssign[Employee ID],A13,tblDedAssign[Deduction ID],"D06",tblDedAssign[Active?],"Yes"))</f>
        <v>0</v>
      </c>
      <c r="Z13" s="7">
        <f t="shared" si="6"/>
        <v>0</v>
      </c>
      <c r="AA13" s="7">
        <f t="shared" si="7"/>
        <v>4500</v>
      </c>
      <c r="AB13" s="3" t="str">
        <f t="shared" si="8"/>
        <v>Calculated</v>
      </c>
    </row>
    <row r="14" spans="1:28" x14ac:dyDescent="0.25">
      <c r="A14" s="3" t="str">
        <f>IFERROR(INDEX(tblEmployees[Employee ID],10),"")</f>
        <v>E010</v>
      </c>
      <c r="B14" s="3" t="str">
        <f>IF(A14="","",IFERROR(INDEX(tblEmployees[Employee Name],MATCH(A14,tblEmployees[Employee ID],0)),""))</f>
        <v>Jonah Baptiste</v>
      </c>
      <c r="C14" s="3" t="str">
        <f>IF(A14="","",IFERROR(INDEX(tblEmployees[Department],MATCH(A14,tblEmployees[Employee ID],0)),""))</f>
        <v>Finance</v>
      </c>
      <c r="D14" s="3" t="str">
        <f>IF(A14="","",IFERROR(INDEX(tblEmployees[Job Title],MATCH(A14,tblEmployees[Employee ID],0)),""))</f>
        <v>Financial Analyst</v>
      </c>
      <c r="E14" s="7">
        <f>IF(A14="",0,IFERROR(INDEX(tblEmployees[Monthly Basic Salary],MATCH(A14,tblEmployees[Employee ID],0)),0))</f>
        <v>6100</v>
      </c>
      <c r="F14" s="7">
        <f t="shared" si="0"/>
        <v>29.326923076923077</v>
      </c>
      <c r="G14" s="7">
        <f>IF(A14="",0,SUMIFS(tblAttendance[Regular Hours],tblAttendance[Employee ID],A14,tblAttendance[Date],"&gt;="&amp;PeriodStart,tblAttendance[Date],"&lt;="&amp;PeriodEnd))</f>
        <v>15.999999999999995</v>
      </c>
      <c r="H14" s="7">
        <f>IF(A14="",0,SUMIFS(tblAttendance[Overtime Hours],tblAttendance[Employee ID],A14,tblAttendance[Date],"&gt;="&amp;PeriodStart,tblAttendance[Date],"&lt;="&amp;PeriodEnd))</f>
        <v>2.9999999999999929</v>
      </c>
      <c r="I14" s="7">
        <f>IF(A14="",0,SUMIFS(tblAttendance[Weekend Hours],tblAttendance[Employee ID],A14,tblAttendance[Date],"&gt;="&amp;PeriodStart,tblAttendance[Date],"&lt;="&amp;PeriodEnd))</f>
        <v>0</v>
      </c>
      <c r="J14" s="7">
        <f>IF(A14="",0,SUMIFS(tblAttendance[Public Holiday Hours],tblAttendance[Employee ID],A14,tblAttendance[Date],"&gt;="&amp;PeriodStart,tblAttendance[Date],"&lt;="&amp;PeriodEnd))</f>
        <v>0</v>
      </c>
      <c r="K14" s="7">
        <f t="shared" si="1"/>
        <v>109.97596153846129</v>
      </c>
      <c r="L14" s="7">
        <f t="shared" si="2"/>
        <v>0</v>
      </c>
      <c r="M14" s="7">
        <f t="shared" si="3"/>
        <v>0</v>
      </c>
      <c r="N14" s="7">
        <f>IF(A14="",0,SUMIFS(tblAllowBonus[Amount],tblAllowBonus[Employee ID],A14,tblAllowBonus[Category],"Allowance",tblAllowBonus[Approved?],"Yes",tblAllowBonus[Pay Period],PeriodStart))</f>
        <v>0</v>
      </c>
      <c r="O14" s="7">
        <f>IF(A14="",0,SUMIFS(tblAllowBonus[Amount],tblAllowBonus[Employee ID],A14,tblAllowBonus[Category],"Bonus",tblAllowBonus[Approved?],"Yes",tblAllowBonus[Pay Period],PeriodStart))</f>
        <v>400</v>
      </c>
      <c r="P14" s="7">
        <f>IF(A14="",0,SUMIFS(tblAllowBonus[Amount],tblAllowBonus[Employee ID],A14,tblAllowBonus[Category],"Other",tblAllowBonus[Approved?],"Yes",tblAllowBonus[Pay Period],PeriodStart))</f>
        <v>100</v>
      </c>
      <c r="Q14" s="7">
        <f t="shared" si="4"/>
        <v>6709.975961538461</v>
      </c>
      <c r="R14" s="27">
        <f>IF(A14="",0,SUMIFS(tblLeave[Number of Days],tblLeave[Employee ID],A14,tblLeave[Paid/Unpaid],"Unpaid",tblLeave[Approval Status],"Approved",tblLeave[Start Date],"&gt;="&amp;PeriodStart,tblLeave[End Date],"&lt;="&amp;PeriodEnd))</f>
        <v>0</v>
      </c>
      <c r="S14" s="7">
        <f t="shared" si="5"/>
        <v>0</v>
      </c>
      <c r="T14" s="7">
        <f>IF(A14="",0,SUMIFS(tblDedAssign[Deduction Amount],tblDedAssign[Employee ID],A14,tblDedAssign[Deduction ID],"D01",tblDedAssign[Active?],"Yes"))</f>
        <v>244</v>
      </c>
      <c r="U14" s="7">
        <f>IF(A14="",0,SUMIFS(tblDedAssign[Deduction Amount],tblDedAssign[Employee ID],A14,tblDedAssign[Deduction ID],"D02",tblDedAssign[Active?],"Yes"))</f>
        <v>0</v>
      </c>
      <c r="V14" s="7">
        <f>IF(A14="",0,SUMIFS(tblDedAssign[Deduction Amount],tblDedAssign[Employee ID],A14,tblDedAssign[Deduction ID],"D03",tblDedAssign[Active?],"Yes"))</f>
        <v>67.099759615384613</v>
      </c>
      <c r="W14" s="7">
        <f>IF(A14="",0,SUMIFS(tblDedAssign[Deduction Amount],tblDedAssign[Employee ID],A14,tblDedAssign[Deduction ID],"D04",tblDedAssign[Active?],"Yes"))</f>
        <v>183</v>
      </c>
      <c r="X14" s="7">
        <f>IF(A14="",0,SUMIFS(tblDedAssign[Deduction Amount],tblDedAssign[Employee ID],A14,tblDedAssign[Deduction ID],"D05",tblDedAssign[Active?],"Yes"))</f>
        <v>0</v>
      </c>
      <c r="Y14" s="7">
        <f>IF(A14="",0,SUMIFS(tblDedAssign[Deduction Amount],tblDedAssign[Employee ID],A14,tblDedAssign[Deduction ID],"D06",tblDedAssign[Active?],"Yes"))</f>
        <v>0</v>
      </c>
      <c r="Z14" s="7">
        <f t="shared" si="6"/>
        <v>494.09975961538464</v>
      </c>
      <c r="AA14" s="7">
        <f t="shared" si="7"/>
        <v>6215.8762019230762</v>
      </c>
      <c r="AB14" s="3" t="str">
        <f t="shared" si="8"/>
        <v>Calculated</v>
      </c>
    </row>
  </sheetData>
  <mergeCells count="1">
    <mergeCell ref="A1:AB1"/>
  </mergeCells>
  <pageMargins left="0.4" right="0.4" top="0.5" bottom="0.5" header="0.511811023622047" footer="0.511811023622047"/>
  <pageSetup fitToHeight="0" orientation="landscape"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F3864"/>
    <pageSetUpPr fitToPage="1"/>
  </sheetPr>
  <dimension ref="A1:X24"/>
  <sheetViews>
    <sheetView showGridLines="0" zoomScaleNormal="100" workbookViewId="0">
      <pane ySplit="4" topLeftCell="A5" activePane="bottomLeft" state="frozen"/>
      <selection pane="bottomLeft" sqref="A1:X1"/>
    </sheetView>
  </sheetViews>
  <sheetFormatPr defaultColWidth="8.7109375" defaultRowHeight="15" x14ac:dyDescent="0.25"/>
  <cols>
    <col min="1" max="1" width="13" customWidth="1"/>
    <col min="2" max="2" width="18" customWidth="1"/>
    <col min="3" max="3" width="16" customWidth="1"/>
    <col min="4" max="4" width="20" customWidth="1"/>
    <col min="5" max="24" width="13" customWidth="1"/>
  </cols>
  <sheetData>
    <row r="1" spans="1:24" ht="27.75" customHeight="1" x14ac:dyDescent="0.25">
      <c r="A1" s="45" t="s">
        <v>290</v>
      </c>
      <c r="B1" s="45"/>
      <c r="C1" s="45"/>
      <c r="D1" s="45"/>
      <c r="E1" s="45"/>
      <c r="F1" s="45"/>
      <c r="G1" s="45"/>
      <c r="H1" s="45"/>
      <c r="I1" s="45"/>
      <c r="J1" s="45"/>
      <c r="K1" s="45"/>
      <c r="L1" s="45"/>
      <c r="M1" s="45"/>
      <c r="N1" s="45"/>
      <c r="O1" s="45"/>
      <c r="P1" s="45"/>
      <c r="Q1" s="45"/>
      <c r="R1" s="45"/>
      <c r="S1" s="45"/>
      <c r="T1" s="45"/>
      <c r="U1" s="45"/>
      <c r="V1" s="45"/>
      <c r="W1" s="45"/>
      <c r="X1" s="45"/>
    </row>
    <row r="2" spans="1:24" x14ac:dyDescent="0.25">
      <c r="A2" s="4" t="s">
        <v>1</v>
      </c>
      <c r="B2" s="5" t="str">
        <f>TEXT(PeriodStart,"mmmm yyyy")</f>
        <v>September 2026</v>
      </c>
    </row>
    <row r="4" spans="1:24" ht="25.5" x14ac:dyDescent="0.25">
      <c r="A4" s="6" t="s">
        <v>139</v>
      </c>
      <c r="B4" s="6" t="s">
        <v>140</v>
      </c>
      <c r="C4" s="6" t="s">
        <v>143</v>
      </c>
      <c r="D4" s="6" t="s">
        <v>144</v>
      </c>
      <c r="E4" s="6" t="s">
        <v>151</v>
      </c>
      <c r="F4" s="6" t="s">
        <v>238</v>
      </c>
      <c r="G4" s="6" t="s">
        <v>239</v>
      </c>
      <c r="H4" s="6" t="s">
        <v>279</v>
      </c>
      <c r="I4" s="6" t="s">
        <v>280</v>
      </c>
      <c r="J4" s="6" t="s">
        <v>281</v>
      </c>
      <c r="K4" s="6" t="s">
        <v>282</v>
      </c>
      <c r="L4" s="6" t="s">
        <v>283</v>
      </c>
      <c r="M4" s="6" t="s">
        <v>284</v>
      </c>
      <c r="N4" s="6" t="s">
        <v>285</v>
      </c>
      <c r="O4" s="6" t="s">
        <v>15</v>
      </c>
      <c r="P4" s="6" t="s">
        <v>16</v>
      </c>
      <c r="Q4" s="6" t="s">
        <v>17</v>
      </c>
      <c r="R4" s="6" t="s">
        <v>18</v>
      </c>
      <c r="S4" s="6" t="s">
        <v>19</v>
      </c>
      <c r="T4" s="6" t="s">
        <v>20</v>
      </c>
      <c r="U4" s="6" t="s">
        <v>5</v>
      </c>
      <c r="V4" s="6" t="s">
        <v>287</v>
      </c>
      <c r="W4" s="6" t="s">
        <v>288</v>
      </c>
      <c r="X4" s="6" t="s">
        <v>289</v>
      </c>
    </row>
    <row r="5" spans="1:24" x14ac:dyDescent="0.25">
      <c r="A5" s="3" t="str">
        <f>Payroll!A5</f>
        <v>E001</v>
      </c>
      <c r="B5" s="3" t="str">
        <f>Payroll!B5</f>
        <v>Amelia Carter</v>
      </c>
      <c r="C5" s="3" t="str">
        <f>Payroll!C5</f>
        <v>Sales</v>
      </c>
      <c r="D5" s="3" t="str">
        <f>Payroll!D5</f>
        <v>Sales Associate</v>
      </c>
      <c r="E5" s="7">
        <f>Payroll!E5</f>
        <v>4200</v>
      </c>
      <c r="F5" s="24">
        <f>Payroll!G5</f>
        <v>39.64999999999997</v>
      </c>
      <c r="G5" s="24">
        <f>Payroll!H5</f>
        <v>2.1333333333333417</v>
      </c>
      <c r="H5" s="7">
        <f>Payroll!K5</f>
        <v>53.846153846154067</v>
      </c>
      <c r="I5" s="7">
        <f>Payroll!L5</f>
        <v>0</v>
      </c>
      <c r="J5" s="7">
        <f>Payroll!M5</f>
        <v>0</v>
      </c>
      <c r="K5" s="7">
        <f>Payroll!N5</f>
        <v>500</v>
      </c>
      <c r="L5" s="7">
        <f>Payroll!O5</f>
        <v>0</v>
      </c>
      <c r="M5" s="7">
        <f>Payroll!P5</f>
        <v>0</v>
      </c>
      <c r="N5" s="7">
        <f>Payroll!Q5</f>
        <v>4753.8461538461543</v>
      </c>
      <c r="O5" s="7">
        <f>Payroll!T5</f>
        <v>210</v>
      </c>
      <c r="P5" s="7">
        <f>Payroll!U5</f>
        <v>84</v>
      </c>
      <c r="Q5" s="7">
        <f>Payroll!V5</f>
        <v>0</v>
      </c>
      <c r="R5" s="7">
        <f>Payroll!W5</f>
        <v>0</v>
      </c>
      <c r="S5" s="7">
        <f>Payroll!X5</f>
        <v>0</v>
      </c>
      <c r="T5" s="7">
        <f>Payroll!Y5</f>
        <v>0</v>
      </c>
      <c r="U5" s="7">
        <f>Payroll!Z5</f>
        <v>294</v>
      </c>
      <c r="V5" s="7">
        <f>Payroll!S5</f>
        <v>0</v>
      </c>
      <c r="W5" s="7">
        <f>Payroll!AA5</f>
        <v>4459.8461538461543</v>
      </c>
      <c r="X5" s="7" t="str">
        <f>Payroll!AB5</f>
        <v>Calculated</v>
      </c>
    </row>
    <row r="6" spans="1:24" x14ac:dyDescent="0.25">
      <c r="A6" s="3" t="str">
        <f>Payroll!A6</f>
        <v>E002</v>
      </c>
      <c r="B6" s="3" t="str">
        <f>Payroll!B6</f>
        <v>Brian Osei</v>
      </c>
      <c r="C6" s="3" t="str">
        <f>Payroll!C6</f>
        <v>Operations</v>
      </c>
      <c r="D6" s="3" t="str">
        <f>Payroll!D6</f>
        <v>Warehouse Supervisor</v>
      </c>
      <c r="E6" s="7">
        <f>Payroll!E6</f>
        <v>5200</v>
      </c>
      <c r="F6" s="24">
        <f>Payroll!G6</f>
        <v>15.999999999999989</v>
      </c>
      <c r="G6" s="24">
        <f>Payroll!H6</f>
        <v>0</v>
      </c>
      <c r="H6" s="7">
        <f>Payroll!K6</f>
        <v>0</v>
      </c>
      <c r="I6" s="7">
        <f>Payroll!L6</f>
        <v>150.0000000000006</v>
      </c>
      <c r="J6" s="7">
        <f>Payroll!M6</f>
        <v>250.00000000000009</v>
      </c>
      <c r="K6" s="7">
        <f>Payroll!N6</f>
        <v>200</v>
      </c>
      <c r="L6" s="7">
        <f>Payroll!O6</f>
        <v>0</v>
      </c>
      <c r="M6" s="7">
        <f>Payroll!P6</f>
        <v>0</v>
      </c>
      <c r="N6" s="7">
        <f>Payroll!Q6</f>
        <v>5800.0000000000009</v>
      </c>
      <c r="O6" s="7">
        <f>Payroll!T6</f>
        <v>260</v>
      </c>
      <c r="P6" s="7">
        <f>Payroll!U6</f>
        <v>0</v>
      </c>
      <c r="Q6" s="7">
        <f>Payroll!V6</f>
        <v>0</v>
      </c>
      <c r="R6" s="7">
        <f>Payroll!W6</f>
        <v>0</v>
      </c>
      <c r="S6" s="7">
        <f>Payroll!X6</f>
        <v>0</v>
      </c>
      <c r="T6" s="7">
        <f>Payroll!Y6</f>
        <v>0</v>
      </c>
      <c r="U6" s="7">
        <f>Payroll!Z6</f>
        <v>260</v>
      </c>
      <c r="V6" s="7">
        <f>Payroll!S6</f>
        <v>0</v>
      </c>
      <c r="W6" s="7">
        <f>Payroll!AA6</f>
        <v>5540.0000000000009</v>
      </c>
      <c r="X6" s="7" t="str">
        <f>Payroll!AB6</f>
        <v>Calculated</v>
      </c>
    </row>
    <row r="7" spans="1:24" x14ac:dyDescent="0.25">
      <c r="A7" s="3" t="str">
        <f>Payroll!A7</f>
        <v>E003</v>
      </c>
      <c r="B7" s="3" t="str">
        <f>Payroll!B7</f>
        <v>Carla Mendes</v>
      </c>
      <c r="C7" s="3" t="str">
        <f>Payroll!C7</f>
        <v>Finance</v>
      </c>
      <c r="D7" s="3" t="str">
        <f>Payroll!D7</f>
        <v>Accountant</v>
      </c>
      <c r="E7" s="7">
        <f>Payroll!E7</f>
        <v>5600</v>
      </c>
      <c r="F7" s="24">
        <f>Payroll!G7</f>
        <v>23.999999999999986</v>
      </c>
      <c r="G7" s="24">
        <f>Payroll!H7</f>
        <v>0</v>
      </c>
      <c r="H7" s="7">
        <f>Payroll!K7</f>
        <v>0</v>
      </c>
      <c r="I7" s="7">
        <f>Payroll!L7</f>
        <v>0</v>
      </c>
      <c r="J7" s="7">
        <f>Payroll!M7</f>
        <v>0</v>
      </c>
      <c r="K7" s="7">
        <f>Payroll!N7</f>
        <v>150</v>
      </c>
      <c r="L7" s="7">
        <f>Payroll!O7</f>
        <v>300</v>
      </c>
      <c r="M7" s="7">
        <f>Payroll!P7</f>
        <v>0</v>
      </c>
      <c r="N7" s="7">
        <f>Payroll!Q7</f>
        <v>6050</v>
      </c>
      <c r="O7" s="7">
        <f>Payroll!T7</f>
        <v>280</v>
      </c>
      <c r="P7" s="7">
        <f>Payroll!U7</f>
        <v>112</v>
      </c>
      <c r="Q7" s="7">
        <f>Payroll!V7</f>
        <v>0</v>
      </c>
      <c r="R7" s="7">
        <f>Payroll!W7</f>
        <v>0</v>
      </c>
      <c r="S7" s="7">
        <f>Payroll!X7</f>
        <v>0</v>
      </c>
      <c r="T7" s="7">
        <f>Payroll!Y7</f>
        <v>0</v>
      </c>
      <c r="U7" s="7">
        <f>Payroll!Z7</f>
        <v>392</v>
      </c>
      <c r="V7" s="7">
        <f>Payroll!S7</f>
        <v>0</v>
      </c>
      <c r="W7" s="7">
        <f>Payroll!AA7</f>
        <v>5658</v>
      </c>
      <c r="X7" s="7" t="str">
        <f>Payroll!AB7</f>
        <v>Calculated</v>
      </c>
    </row>
    <row r="8" spans="1:24" x14ac:dyDescent="0.25">
      <c r="A8" s="3" t="str">
        <f>Payroll!A8</f>
        <v>E004</v>
      </c>
      <c r="B8" s="3" t="str">
        <f>Payroll!B8</f>
        <v>David Kim</v>
      </c>
      <c r="C8" s="3" t="str">
        <f>Payroll!C8</f>
        <v>IT &amp; Engineering</v>
      </c>
      <c r="D8" s="3" t="str">
        <f>Payroll!D8</f>
        <v>Software Engineer</v>
      </c>
      <c r="E8" s="7">
        <f>Payroll!E8</f>
        <v>7800</v>
      </c>
      <c r="F8" s="24">
        <f>Payroll!G8</f>
        <v>15.999999999999989</v>
      </c>
      <c r="G8" s="24">
        <f>Payroll!H8</f>
        <v>0</v>
      </c>
      <c r="H8" s="7">
        <f>Payroll!K8</f>
        <v>0</v>
      </c>
      <c r="I8" s="7">
        <f>Payroll!L8</f>
        <v>0</v>
      </c>
      <c r="J8" s="7">
        <f>Payroll!M8</f>
        <v>0</v>
      </c>
      <c r="K8" s="7">
        <f>Payroll!N8</f>
        <v>100</v>
      </c>
      <c r="L8" s="7">
        <f>Payroll!O8</f>
        <v>0</v>
      </c>
      <c r="M8" s="7">
        <f>Payroll!P8</f>
        <v>0</v>
      </c>
      <c r="N8" s="7">
        <f>Payroll!Q8</f>
        <v>7900</v>
      </c>
      <c r="O8" s="7">
        <f>Payroll!T8</f>
        <v>0</v>
      </c>
      <c r="P8" s="7">
        <f>Payroll!U8</f>
        <v>0</v>
      </c>
      <c r="Q8" s="7">
        <f>Payroll!V8</f>
        <v>0</v>
      </c>
      <c r="R8" s="7">
        <f>Payroll!W8</f>
        <v>234</v>
      </c>
      <c r="S8" s="7">
        <f>Payroll!X8</f>
        <v>0</v>
      </c>
      <c r="T8" s="7">
        <f>Payroll!Y8</f>
        <v>0</v>
      </c>
      <c r="U8" s="7">
        <f>Payroll!Z8</f>
        <v>234</v>
      </c>
      <c r="V8" s="7">
        <f>Payroll!S8</f>
        <v>0</v>
      </c>
      <c r="W8" s="7">
        <f>Payroll!AA8</f>
        <v>7666</v>
      </c>
      <c r="X8" s="7" t="str">
        <f>Payroll!AB8</f>
        <v>Calculated</v>
      </c>
    </row>
    <row r="9" spans="1:24" x14ac:dyDescent="0.25">
      <c r="A9" s="3" t="str">
        <f>Payroll!A9</f>
        <v>E005</v>
      </c>
      <c r="B9" s="3" t="str">
        <f>Payroll!B9</f>
        <v>Elena Petrova</v>
      </c>
      <c r="C9" s="3" t="str">
        <f>Payroll!C9</f>
        <v>Sales</v>
      </c>
      <c r="D9" s="3" t="str">
        <f>Payroll!D9</f>
        <v>Sales Associate</v>
      </c>
      <c r="E9" s="7">
        <f>Payroll!E9</f>
        <v>4100</v>
      </c>
      <c r="F9" s="24">
        <f>Payroll!G9</f>
        <v>23.999999999999986</v>
      </c>
      <c r="G9" s="24">
        <f>Payroll!H9</f>
        <v>0</v>
      </c>
      <c r="H9" s="7">
        <f>Payroll!K9</f>
        <v>0</v>
      </c>
      <c r="I9" s="7">
        <f>Payroll!L9</f>
        <v>0</v>
      </c>
      <c r="J9" s="7">
        <f>Payroll!M9</f>
        <v>0</v>
      </c>
      <c r="K9" s="7">
        <f>Payroll!N9</f>
        <v>0</v>
      </c>
      <c r="L9" s="7">
        <f>Payroll!O9</f>
        <v>0</v>
      </c>
      <c r="M9" s="7">
        <f>Payroll!P9</f>
        <v>0</v>
      </c>
      <c r="N9" s="7">
        <f>Payroll!Q9</f>
        <v>4100</v>
      </c>
      <c r="O9" s="7">
        <f>Payroll!T9</f>
        <v>0</v>
      </c>
      <c r="P9" s="7">
        <f>Payroll!U9</f>
        <v>0</v>
      </c>
      <c r="Q9" s="7">
        <f>Payroll!V9</f>
        <v>0</v>
      </c>
      <c r="R9" s="7">
        <f>Payroll!W9</f>
        <v>0</v>
      </c>
      <c r="S9" s="7">
        <f>Payroll!X9</f>
        <v>0</v>
      </c>
      <c r="T9" s="7">
        <f>Payroll!Y9</f>
        <v>0</v>
      </c>
      <c r="U9" s="7">
        <f>Payroll!Z9</f>
        <v>0</v>
      </c>
      <c r="V9" s="7">
        <f>Payroll!S9</f>
        <v>473.07692307692304</v>
      </c>
      <c r="W9" s="7">
        <f>Payroll!AA9</f>
        <v>3626.9230769230771</v>
      </c>
      <c r="X9" s="7" t="str">
        <f>Payroll!AB9</f>
        <v>Calculated</v>
      </c>
    </row>
    <row r="10" spans="1:24" x14ac:dyDescent="0.25">
      <c r="A10" s="3" t="str">
        <f>Payroll!A10</f>
        <v>E006</v>
      </c>
      <c r="B10" s="3" t="str">
        <f>Payroll!B10</f>
        <v>Farhan Ali</v>
      </c>
      <c r="C10" s="3" t="str">
        <f>Payroll!C10</f>
        <v>Operations</v>
      </c>
      <c r="D10" s="3" t="str">
        <f>Payroll!D10</f>
        <v>Forklift Operator</v>
      </c>
      <c r="E10" s="7">
        <f>Payroll!E10</f>
        <v>3900</v>
      </c>
      <c r="F10" s="24">
        <f>Payroll!G10</f>
        <v>15.166666666666647</v>
      </c>
      <c r="G10" s="24">
        <f>Payroll!H10</f>
        <v>0</v>
      </c>
      <c r="H10" s="7">
        <f>Payroll!K10</f>
        <v>0</v>
      </c>
      <c r="I10" s="7">
        <f>Payroll!L10</f>
        <v>0</v>
      </c>
      <c r="J10" s="7">
        <f>Payroll!M10</f>
        <v>0</v>
      </c>
      <c r="K10" s="7">
        <f>Payroll!N10</f>
        <v>250</v>
      </c>
      <c r="L10" s="7">
        <f>Payroll!O10</f>
        <v>0</v>
      </c>
      <c r="M10" s="7">
        <f>Payroll!P10</f>
        <v>0</v>
      </c>
      <c r="N10" s="7">
        <f>Payroll!Q10</f>
        <v>4150</v>
      </c>
      <c r="O10" s="7">
        <f>Payroll!T10</f>
        <v>0</v>
      </c>
      <c r="P10" s="7">
        <f>Payroll!U10</f>
        <v>0</v>
      </c>
      <c r="Q10" s="7">
        <f>Payroll!V10</f>
        <v>0</v>
      </c>
      <c r="R10" s="7">
        <f>Payroll!W10</f>
        <v>0</v>
      </c>
      <c r="S10" s="7">
        <f>Payroll!X10</f>
        <v>0</v>
      </c>
      <c r="T10" s="7">
        <f>Payroll!Y10</f>
        <v>0</v>
      </c>
      <c r="U10" s="7">
        <f>Payroll!Z10</f>
        <v>0</v>
      </c>
      <c r="V10" s="7">
        <f>Payroll!S10</f>
        <v>0</v>
      </c>
      <c r="W10" s="7">
        <f>Payroll!AA10</f>
        <v>4150</v>
      </c>
      <c r="X10" s="7" t="str">
        <f>Payroll!AB10</f>
        <v>Calculated</v>
      </c>
    </row>
    <row r="11" spans="1:24" x14ac:dyDescent="0.25">
      <c r="A11" s="3" t="str">
        <f>Payroll!A11</f>
        <v>E007</v>
      </c>
      <c r="B11" s="3" t="str">
        <f>Payroll!B11</f>
        <v>Grace Njoroge</v>
      </c>
      <c r="C11" s="3" t="str">
        <f>Payroll!C11</f>
        <v>Operations</v>
      </c>
      <c r="D11" s="3" t="str">
        <f>Payroll!D11</f>
        <v>Warehouse Manager</v>
      </c>
      <c r="E11" s="7">
        <f>Payroll!E11</f>
        <v>6500</v>
      </c>
      <c r="F11" s="24">
        <f>Payroll!G11</f>
        <v>15.999999999999989</v>
      </c>
      <c r="G11" s="24">
        <f>Payroll!H11</f>
        <v>0</v>
      </c>
      <c r="H11" s="7">
        <f>Payroll!K11</f>
        <v>0</v>
      </c>
      <c r="I11" s="7">
        <f>Payroll!L11</f>
        <v>0</v>
      </c>
      <c r="J11" s="7">
        <f>Payroll!M11</f>
        <v>0</v>
      </c>
      <c r="K11" s="7">
        <f>Payroll!N11</f>
        <v>0</v>
      </c>
      <c r="L11" s="7">
        <f>Payroll!O11</f>
        <v>200</v>
      </c>
      <c r="M11" s="7">
        <f>Payroll!P11</f>
        <v>0</v>
      </c>
      <c r="N11" s="7">
        <f>Payroll!Q11</f>
        <v>6700</v>
      </c>
      <c r="O11" s="7">
        <f>Payroll!T11</f>
        <v>325</v>
      </c>
      <c r="P11" s="7">
        <f>Payroll!U11</f>
        <v>0</v>
      </c>
      <c r="Q11" s="7">
        <f>Payroll!V11</f>
        <v>0</v>
      </c>
      <c r="R11" s="7">
        <f>Payroll!W11</f>
        <v>0</v>
      </c>
      <c r="S11" s="7">
        <f>Payroll!X11</f>
        <v>0</v>
      </c>
      <c r="T11" s="7">
        <f>Payroll!Y11</f>
        <v>0</v>
      </c>
      <c r="U11" s="7">
        <f>Payroll!Z11</f>
        <v>325</v>
      </c>
      <c r="V11" s="7">
        <f>Payroll!S11</f>
        <v>0</v>
      </c>
      <c r="W11" s="7">
        <f>Payroll!AA11</f>
        <v>6375</v>
      </c>
      <c r="X11" s="7" t="str">
        <f>Payroll!AB11</f>
        <v>Calculated</v>
      </c>
    </row>
    <row r="12" spans="1:24" x14ac:dyDescent="0.25">
      <c r="A12" s="3" t="str">
        <f>Payroll!A12</f>
        <v>E008</v>
      </c>
      <c r="B12" s="3" t="str">
        <f>Payroll!B12</f>
        <v>Hiro Tanaka</v>
      </c>
      <c r="C12" s="3" t="str">
        <f>Payroll!C12</f>
        <v>IT &amp; Engineering</v>
      </c>
      <c r="D12" s="3" t="str">
        <f>Payroll!D12</f>
        <v>IT Support Technician</v>
      </c>
      <c r="E12" s="7">
        <f>Payroll!E12</f>
        <v>4700</v>
      </c>
      <c r="F12" s="24">
        <f>Payroll!G12</f>
        <v>15.999999999999989</v>
      </c>
      <c r="G12" s="24">
        <f>Payroll!H12</f>
        <v>0</v>
      </c>
      <c r="H12" s="7">
        <f>Payroll!K12</f>
        <v>0</v>
      </c>
      <c r="I12" s="7">
        <f>Payroll!L12</f>
        <v>0</v>
      </c>
      <c r="J12" s="7">
        <f>Payroll!M12</f>
        <v>0</v>
      </c>
      <c r="K12" s="7">
        <f>Payroll!N12</f>
        <v>0</v>
      </c>
      <c r="L12" s="7">
        <f>Payroll!O12</f>
        <v>0</v>
      </c>
      <c r="M12" s="7">
        <f>Payroll!P12</f>
        <v>0</v>
      </c>
      <c r="N12" s="7">
        <f>Payroll!Q12</f>
        <v>4700</v>
      </c>
      <c r="O12" s="7">
        <f>Payroll!T12</f>
        <v>0</v>
      </c>
      <c r="P12" s="7">
        <f>Payroll!U12</f>
        <v>0</v>
      </c>
      <c r="Q12" s="7">
        <f>Payroll!V12</f>
        <v>0</v>
      </c>
      <c r="R12" s="7">
        <f>Payroll!W12</f>
        <v>0</v>
      </c>
      <c r="S12" s="7">
        <f>Payroll!X12</f>
        <v>150</v>
      </c>
      <c r="T12" s="7">
        <f>Payroll!Y12</f>
        <v>0</v>
      </c>
      <c r="U12" s="7">
        <f>Payroll!Z12</f>
        <v>150</v>
      </c>
      <c r="V12" s="7">
        <f>Payroll!S12</f>
        <v>0</v>
      </c>
      <c r="W12" s="7">
        <f>Payroll!AA12</f>
        <v>4550</v>
      </c>
      <c r="X12" s="7" t="str">
        <f>Payroll!AB12</f>
        <v>Calculated</v>
      </c>
    </row>
    <row r="13" spans="1:24" x14ac:dyDescent="0.25">
      <c r="A13" s="3" t="str">
        <f>Payroll!A13</f>
        <v>E009</v>
      </c>
      <c r="B13" s="3" t="str">
        <f>Payroll!B13</f>
        <v>Isabella Rossi</v>
      </c>
      <c r="C13" s="3" t="str">
        <f>Payroll!C13</f>
        <v>Human Resources</v>
      </c>
      <c r="D13" s="3" t="str">
        <f>Payroll!D13</f>
        <v>HR Coordinator</v>
      </c>
      <c r="E13" s="7">
        <f>Payroll!E13</f>
        <v>4500</v>
      </c>
      <c r="F13" s="24">
        <f>Payroll!G13</f>
        <v>15.999999999999989</v>
      </c>
      <c r="G13" s="24">
        <f>Payroll!H13</f>
        <v>0</v>
      </c>
      <c r="H13" s="7">
        <f>Payroll!K13</f>
        <v>0</v>
      </c>
      <c r="I13" s="7">
        <f>Payroll!L13</f>
        <v>0</v>
      </c>
      <c r="J13" s="7">
        <f>Payroll!M13</f>
        <v>0</v>
      </c>
      <c r="K13" s="7">
        <f>Payroll!N13</f>
        <v>0</v>
      </c>
      <c r="L13" s="7">
        <f>Payroll!O13</f>
        <v>0</v>
      </c>
      <c r="M13" s="7">
        <f>Payroll!P13</f>
        <v>0</v>
      </c>
      <c r="N13" s="7">
        <f>Payroll!Q13</f>
        <v>4500</v>
      </c>
      <c r="O13" s="7">
        <f>Payroll!T13</f>
        <v>0</v>
      </c>
      <c r="P13" s="7">
        <f>Payroll!U13</f>
        <v>0</v>
      </c>
      <c r="Q13" s="7">
        <f>Payroll!V13</f>
        <v>0</v>
      </c>
      <c r="R13" s="7">
        <f>Payroll!W13</f>
        <v>0</v>
      </c>
      <c r="S13" s="7">
        <f>Payroll!X13</f>
        <v>0</v>
      </c>
      <c r="T13" s="7">
        <f>Payroll!Y13</f>
        <v>0</v>
      </c>
      <c r="U13" s="7">
        <f>Payroll!Z13</f>
        <v>0</v>
      </c>
      <c r="V13" s="7">
        <f>Payroll!S13</f>
        <v>0</v>
      </c>
      <c r="W13" s="7">
        <f>Payroll!AA13</f>
        <v>4500</v>
      </c>
      <c r="X13" s="7" t="str">
        <f>Payroll!AB13</f>
        <v>Calculated</v>
      </c>
    </row>
    <row r="14" spans="1:24" x14ac:dyDescent="0.25">
      <c r="A14" s="3" t="str">
        <f>Payroll!A14</f>
        <v>E010</v>
      </c>
      <c r="B14" s="3" t="str">
        <f>Payroll!B14</f>
        <v>Jonah Baptiste</v>
      </c>
      <c r="C14" s="3" t="str">
        <f>Payroll!C14</f>
        <v>Finance</v>
      </c>
      <c r="D14" s="3" t="str">
        <f>Payroll!D14</f>
        <v>Financial Analyst</v>
      </c>
      <c r="E14" s="7">
        <f>Payroll!E14</f>
        <v>6100</v>
      </c>
      <c r="F14" s="24">
        <f>Payroll!G14</f>
        <v>15.999999999999995</v>
      </c>
      <c r="G14" s="24">
        <f>Payroll!H14</f>
        <v>2.9999999999999929</v>
      </c>
      <c r="H14" s="7">
        <f>Payroll!K14</f>
        <v>109.97596153846129</v>
      </c>
      <c r="I14" s="7">
        <f>Payroll!L14</f>
        <v>0</v>
      </c>
      <c r="J14" s="7">
        <f>Payroll!M14</f>
        <v>0</v>
      </c>
      <c r="K14" s="7">
        <f>Payroll!N14</f>
        <v>0</v>
      </c>
      <c r="L14" s="7">
        <f>Payroll!O14</f>
        <v>400</v>
      </c>
      <c r="M14" s="7">
        <f>Payroll!P14</f>
        <v>100</v>
      </c>
      <c r="N14" s="7">
        <f>Payroll!Q14</f>
        <v>6709.975961538461</v>
      </c>
      <c r="O14" s="7">
        <f>Payroll!T14</f>
        <v>244</v>
      </c>
      <c r="P14" s="7">
        <f>Payroll!U14</f>
        <v>0</v>
      </c>
      <c r="Q14" s="7">
        <f>Payroll!V14</f>
        <v>67.099759615384613</v>
      </c>
      <c r="R14" s="7">
        <f>Payroll!W14</f>
        <v>183</v>
      </c>
      <c r="S14" s="7">
        <f>Payroll!X14</f>
        <v>0</v>
      </c>
      <c r="T14" s="7">
        <f>Payroll!Y14</f>
        <v>0</v>
      </c>
      <c r="U14" s="7">
        <f>Payroll!Z14</f>
        <v>494.09975961538464</v>
      </c>
      <c r="V14" s="7">
        <f>Payroll!S14</f>
        <v>0</v>
      </c>
      <c r="W14" s="7">
        <f>Payroll!AA14</f>
        <v>6215.8762019230762</v>
      </c>
      <c r="X14" s="7" t="str">
        <f>Payroll!AB14</f>
        <v>Calculated</v>
      </c>
    </row>
    <row r="17" spans="1:6" x14ac:dyDescent="0.25">
      <c r="A17" s="39" t="s">
        <v>291</v>
      </c>
      <c r="B17" s="39"/>
      <c r="C17" s="39"/>
      <c r="D17" s="39"/>
      <c r="E17" s="39"/>
      <c r="F17" s="39"/>
    </row>
    <row r="18" spans="1:6" ht="25.5" x14ac:dyDescent="0.25">
      <c r="A18" s="6" t="s">
        <v>143</v>
      </c>
      <c r="B18" s="6" t="s">
        <v>292</v>
      </c>
      <c r="C18" s="6" t="s">
        <v>285</v>
      </c>
      <c r="D18" s="6" t="s">
        <v>5</v>
      </c>
      <c r="E18" s="6" t="s">
        <v>287</v>
      </c>
      <c r="F18" s="6" t="s">
        <v>288</v>
      </c>
    </row>
    <row r="19" spans="1:6" x14ac:dyDescent="0.25">
      <c r="A19" s="3" t="s">
        <v>162</v>
      </c>
      <c r="B19" s="25">
        <f>COUNTIFS(tblPayrollRegister[Department],A19)</f>
        <v>2</v>
      </c>
      <c r="C19" s="7">
        <f>SUMIFS(tblPayrollRegister[Gross Earnings],tblPayrollRegister[Department],A19)</f>
        <v>8853.8461538461543</v>
      </c>
      <c r="D19" s="7">
        <f>SUMIFS(tblPayrollRegister[Total Deductions],tblPayrollRegister[Department],A19)</f>
        <v>294</v>
      </c>
      <c r="E19" s="7">
        <f>SUMIFS(tblPayrollRegister[Unpaid Leave Deduction],tblPayrollRegister[Department],A19)</f>
        <v>473.07692307692304</v>
      </c>
      <c r="F19" s="7">
        <f>SUMIFS(tblPayrollRegister[Net Pay],tblPayrollRegister[Department],A19)</f>
        <v>8086.7692307692314</v>
      </c>
    </row>
    <row r="20" spans="1:6" x14ac:dyDescent="0.25">
      <c r="A20" s="3" t="s">
        <v>174</v>
      </c>
      <c r="B20" s="25">
        <f>COUNTIFS(tblPayrollRegister[Department],A20)</f>
        <v>3</v>
      </c>
      <c r="C20" s="7">
        <f>SUMIFS(tblPayrollRegister[Gross Earnings],tblPayrollRegister[Department],A20)</f>
        <v>16650</v>
      </c>
      <c r="D20" s="7">
        <f>SUMIFS(tblPayrollRegister[Total Deductions],tblPayrollRegister[Department],A20)</f>
        <v>585</v>
      </c>
      <c r="E20" s="7">
        <f>SUMIFS(tblPayrollRegister[Unpaid Leave Deduction],tblPayrollRegister[Department],A20)</f>
        <v>0</v>
      </c>
      <c r="F20" s="7">
        <f>SUMIFS(tblPayrollRegister[Net Pay],tblPayrollRegister[Department],A20)</f>
        <v>16065</v>
      </c>
    </row>
    <row r="21" spans="1:6" x14ac:dyDescent="0.25">
      <c r="A21" s="3" t="s">
        <v>182</v>
      </c>
      <c r="B21" s="25">
        <f>COUNTIFS(tblPayrollRegister[Department],A21)</f>
        <v>2</v>
      </c>
      <c r="C21" s="7">
        <f>SUMIFS(tblPayrollRegister[Gross Earnings],tblPayrollRegister[Department],A21)</f>
        <v>12759.975961538461</v>
      </c>
      <c r="D21" s="7">
        <f>SUMIFS(tblPayrollRegister[Total Deductions],tblPayrollRegister[Department],A21)</f>
        <v>886.09975961538464</v>
      </c>
      <c r="E21" s="7">
        <f>SUMIFS(tblPayrollRegister[Unpaid Leave Deduction],tblPayrollRegister[Department],A21)</f>
        <v>0</v>
      </c>
      <c r="F21" s="7">
        <f>SUMIFS(tblPayrollRegister[Net Pay],tblPayrollRegister[Department],A21)</f>
        <v>11873.876201923076</v>
      </c>
    </row>
    <row r="22" spans="1:6" x14ac:dyDescent="0.25">
      <c r="A22" s="3" t="s">
        <v>189</v>
      </c>
      <c r="B22" s="25">
        <f>COUNTIFS(tblPayrollRegister[Department],A22)</f>
        <v>2</v>
      </c>
      <c r="C22" s="7">
        <f>SUMIFS(tblPayrollRegister[Gross Earnings],tblPayrollRegister[Department],A22)</f>
        <v>12600</v>
      </c>
      <c r="D22" s="7">
        <f>SUMIFS(tblPayrollRegister[Total Deductions],tblPayrollRegister[Department],A22)</f>
        <v>384</v>
      </c>
      <c r="E22" s="7">
        <f>SUMIFS(tblPayrollRegister[Unpaid Leave Deduction],tblPayrollRegister[Department],A22)</f>
        <v>0</v>
      </c>
      <c r="F22" s="7">
        <f>SUMIFS(tblPayrollRegister[Net Pay],tblPayrollRegister[Department],A22)</f>
        <v>12216</v>
      </c>
    </row>
    <row r="23" spans="1:6" x14ac:dyDescent="0.25">
      <c r="A23" s="3" t="s">
        <v>219</v>
      </c>
      <c r="B23" s="25">
        <f>COUNTIFS(tblPayrollRegister[Department],A23)</f>
        <v>1</v>
      </c>
      <c r="C23" s="7">
        <f>SUMIFS(tblPayrollRegister[Gross Earnings],tblPayrollRegister[Department],A23)</f>
        <v>4500</v>
      </c>
      <c r="D23" s="7">
        <f>SUMIFS(tblPayrollRegister[Total Deductions],tblPayrollRegister[Department],A23)</f>
        <v>0</v>
      </c>
      <c r="E23" s="7">
        <f>SUMIFS(tblPayrollRegister[Unpaid Leave Deduction],tblPayrollRegister[Department],A23)</f>
        <v>0</v>
      </c>
      <c r="F23" s="7">
        <f>SUMIFS(tblPayrollRegister[Net Pay],tblPayrollRegister[Department],A23)</f>
        <v>4500</v>
      </c>
    </row>
    <row r="24" spans="1:6" x14ac:dyDescent="0.25">
      <c r="A24" s="4" t="s">
        <v>293</v>
      </c>
      <c r="B24" s="28">
        <f>SUM(B19:B23)</f>
        <v>10</v>
      </c>
      <c r="C24" s="29">
        <f>SUM(C19:C23)</f>
        <v>55363.822115384617</v>
      </c>
      <c r="D24" s="29">
        <f>SUM(D19:D23)</f>
        <v>2149.0997596153848</v>
      </c>
      <c r="E24" s="29">
        <f>SUM(E19:E23)</f>
        <v>473.07692307692304</v>
      </c>
      <c r="F24" s="29">
        <f>SUM(F19:F23)</f>
        <v>52741.645432692305</v>
      </c>
    </row>
  </sheetData>
  <mergeCells count="2">
    <mergeCell ref="A1:X1"/>
    <mergeCell ref="A17:F17"/>
  </mergeCells>
  <pageMargins left="0.4" right="0.4" top="0.5" bottom="0.5" header="0.511811023622047" footer="0.511811023622047"/>
  <pageSetup fitToHeight="0" orientation="landscape"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F3864"/>
    <pageSetUpPr fitToPage="1"/>
  </sheetPr>
  <dimension ref="A1:F44"/>
  <sheetViews>
    <sheetView showGridLines="0" zoomScaleNormal="100" workbookViewId="0">
      <selection sqref="A1:F1"/>
    </sheetView>
  </sheetViews>
  <sheetFormatPr defaultColWidth="8.7109375" defaultRowHeight="15" x14ac:dyDescent="0.25"/>
  <cols>
    <col min="1" max="1" width="22" customWidth="1"/>
    <col min="2" max="2" width="10" customWidth="1"/>
    <col min="3" max="3" width="16" customWidth="1"/>
    <col min="4" max="4" width="14" customWidth="1"/>
    <col min="5" max="5" width="16" customWidth="1"/>
    <col min="6" max="6" width="10" customWidth="1"/>
  </cols>
  <sheetData>
    <row r="1" spans="1:6" ht="27.75" customHeight="1" x14ac:dyDescent="0.25">
      <c r="A1" s="45" t="s">
        <v>294</v>
      </c>
      <c r="B1" s="45"/>
      <c r="C1" s="45"/>
      <c r="D1" s="45"/>
      <c r="E1" s="45"/>
      <c r="F1" s="45"/>
    </row>
    <row r="3" spans="1:6" x14ac:dyDescent="0.25">
      <c r="A3" s="4" t="s">
        <v>295</v>
      </c>
      <c r="B3" s="14" t="s">
        <v>158</v>
      </c>
      <c r="C3" s="17" t="s">
        <v>296</v>
      </c>
    </row>
    <row r="5" spans="1:6" ht="18.75" x14ac:dyDescent="0.3">
      <c r="A5" s="55" t="str">
        <f>CompanyNameCell</f>
        <v>Company Name</v>
      </c>
      <c r="B5" s="55"/>
      <c r="C5" s="55"/>
      <c r="D5" s="55"/>
      <c r="E5" s="55"/>
      <c r="F5" s="55"/>
    </row>
    <row r="6" spans="1:6" x14ac:dyDescent="0.25">
      <c r="A6" s="30" t="str">
        <f>Settings!B5</f>
        <v>18 Palm Business Park, Suite 400</v>
      </c>
    </row>
    <row r="7" spans="1:6" x14ac:dyDescent="0.25">
      <c r="A7" s="30" t="str">
        <f>Settings!B6&amp;"   |   "&amp;Settings!B7</f>
        <v>+1 555 010 2200   |   payroll@mohammed.example</v>
      </c>
    </row>
    <row r="9" spans="1:6" x14ac:dyDescent="0.25">
      <c r="A9" s="39" t="s">
        <v>297</v>
      </c>
      <c r="B9" s="39"/>
      <c r="C9" s="39"/>
      <c r="D9" s="39"/>
      <c r="E9" s="39"/>
      <c r="F9" s="39"/>
    </row>
    <row r="10" spans="1:6" x14ac:dyDescent="0.25">
      <c r="A10" s="4" t="s">
        <v>140</v>
      </c>
      <c r="C10" s="52" t="str">
        <f>IFERROR(INDEX(tblPayroll[Employee Name],MATCH($B$3,tblPayroll[Employee ID],0)),"")</f>
        <v>Amelia Carter</v>
      </c>
      <c r="D10" s="52"/>
    </row>
    <row r="11" spans="1:6" x14ac:dyDescent="0.25">
      <c r="A11" s="4" t="s">
        <v>143</v>
      </c>
      <c r="C11" s="52" t="str">
        <f>IFERROR(INDEX(tblPayroll[Department],MATCH($B$3,tblPayroll[Employee ID],0)),"")</f>
        <v>Sales</v>
      </c>
      <c r="D11" s="52"/>
    </row>
    <row r="12" spans="1:6" x14ac:dyDescent="0.25">
      <c r="A12" s="4" t="s">
        <v>144</v>
      </c>
      <c r="C12" s="52" t="str">
        <f>IFERROR(INDEX(tblPayroll[Job Title],MATCH($B$3,tblPayroll[Employee ID],0)),"")</f>
        <v>Sales Associate</v>
      </c>
      <c r="D12" s="52"/>
    </row>
    <row r="13" spans="1:6" x14ac:dyDescent="0.25">
      <c r="A13" s="4" t="s">
        <v>298</v>
      </c>
      <c r="C13" s="52" t="str">
        <f>TEXT(PeriodStart,"mmmm yyyy")</f>
        <v>September 2026</v>
      </c>
      <c r="D13" s="52"/>
    </row>
    <row r="14" spans="1:6" x14ac:dyDescent="0.25">
      <c r="A14" s="4" t="s">
        <v>97</v>
      </c>
      <c r="C14" s="54">
        <f>Settings!B15</f>
        <v>46301</v>
      </c>
      <c r="D14" s="54"/>
    </row>
    <row r="15" spans="1:6" x14ac:dyDescent="0.25">
      <c r="A15" s="4" t="s">
        <v>81</v>
      </c>
      <c r="C15" s="52" t="str">
        <f>CurrencyCode</f>
        <v>SAR</v>
      </c>
      <c r="D15" s="52"/>
    </row>
    <row r="17" spans="1:5" x14ac:dyDescent="0.25">
      <c r="A17" s="39" t="s">
        <v>299</v>
      </c>
      <c r="B17" s="39"/>
      <c r="C17" s="39"/>
      <c r="D17" s="39"/>
      <c r="E17" s="31" t="s">
        <v>300</v>
      </c>
    </row>
    <row r="18" spans="1:5" x14ac:dyDescent="0.25">
      <c r="A18" s="50" t="s">
        <v>301</v>
      </c>
      <c r="B18" s="50"/>
      <c r="C18" s="50"/>
      <c r="D18" s="50"/>
      <c r="E18" s="7">
        <f>IFERROR(INDEX(tblPayroll[Monthly Basic Salary],MATCH($B$3,tblPayroll[Employee ID],0)),0)</f>
        <v>4200</v>
      </c>
    </row>
    <row r="19" spans="1:5" x14ac:dyDescent="0.25">
      <c r="A19" s="50" t="s">
        <v>279</v>
      </c>
      <c r="B19" s="50"/>
      <c r="C19" s="50"/>
      <c r="D19" s="50"/>
      <c r="E19" s="7">
        <f>IFERROR(INDEX(tblPayroll[Overtime Pay],MATCH($B$3,tblPayroll[Employee ID],0)),0)</f>
        <v>53.846153846154067</v>
      </c>
    </row>
    <row r="20" spans="1:5" x14ac:dyDescent="0.25">
      <c r="A20" s="50" t="s">
        <v>280</v>
      </c>
      <c r="B20" s="50"/>
      <c r="C20" s="50"/>
      <c r="D20" s="50"/>
      <c r="E20" s="7">
        <f>IFERROR(INDEX(tblPayroll[Weekend Pay],MATCH($B$3,tblPayroll[Employee ID],0)),0)</f>
        <v>0</v>
      </c>
    </row>
    <row r="21" spans="1:5" x14ac:dyDescent="0.25">
      <c r="A21" s="50" t="s">
        <v>281</v>
      </c>
      <c r="B21" s="50"/>
      <c r="C21" s="50"/>
      <c r="D21" s="50"/>
      <c r="E21" s="7">
        <f>IFERROR(INDEX(tblPayroll[Holiday Pay],MATCH($B$3,tblPayroll[Employee ID],0)),0)</f>
        <v>0</v>
      </c>
    </row>
    <row r="22" spans="1:5" x14ac:dyDescent="0.25">
      <c r="A22" s="50" t="s">
        <v>282</v>
      </c>
      <c r="B22" s="50"/>
      <c r="C22" s="50"/>
      <c r="D22" s="50"/>
      <c r="E22" s="7">
        <f>IFERROR(INDEX(tblPayroll[Allowances],MATCH($B$3,tblPayroll[Employee ID],0)),0)</f>
        <v>500</v>
      </c>
    </row>
    <row r="23" spans="1:5" x14ac:dyDescent="0.25">
      <c r="A23" s="50" t="s">
        <v>283</v>
      </c>
      <c r="B23" s="50"/>
      <c r="C23" s="50"/>
      <c r="D23" s="50"/>
      <c r="E23" s="7">
        <f>IFERROR(INDEX(tblPayroll[Bonuses],MATCH($B$3,tblPayroll[Employee ID],0)),0)</f>
        <v>0</v>
      </c>
    </row>
    <row r="24" spans="1:5" x14ac:dyDescent="0.25">
      <c r="A24" s="50" t="s">
        <v>284</v>
      </c>
      <c r="B24" s="50"/>
      <c r="C24" s="50"/>
      <c r="D24" s="50"/>
      <c r="E24" s="7">
        <f>IFERROR(INDEX(tblPayroll[Other Earnings],MATCH($B$3,tblPayroll[Employee ID],0)),0)</f>
        <v>0</v>
      </c>
    </row>
    <row r="25" spans="1:5" x14ac:dyDescent="0.25">
      <c r="A25" s="49" t="s">
        <v>302</v>
      </c>
      <c r="B25" s="49"/>
      <c r="C25" s="49"/>
      <c r="D25" s="49"/>
      <c r="E25" s="29">
        <f>IFERROR(INDEX(tblPayroll[Gross Earnings],MATCH($B$3,tblPayroll[Employee ID],0)),0)</f>
        <v>4753.8461538461543</v>
      </c>
    </row>
    <row r="27" spans="1:5" x14ac:dyDescent="0.25">
      <c r="A27" s="39" t="s">
        <v>303</v>
      </c>
      <c r="B27" s="39"/>
      <c r="C27" s="39"/>
      <c r="D27" s="31" t="s">
        <v>304</v>
      </c>
      <c r="E27" s="31" t="s">
        <v>300</v>
      </c>
    </row>
    <row r="28" spans="1:5" x14ac:dyDescent="0.25">
      <c r="A28" s="50" t="s">
        <v>15</v>
      </c>
      <c r="B28" s="50"/>
      <c r="C28" s="50"/>
      <c r="D28" s="3" t="str">
        <f>IF(IFERROR(INDEX(tblDeductions[Deduction Type],MATCH("D01",tblDeductions[Deduction ID],0)),"")="Percentage",TEXT(IFERROR(INDEX(tblDeductions[Percentage],MATCH("D01",tblDeductions[Deduction ID],0)),0),"0.00%"),"Fixed")</f>
        <v>5.00%</v>
      </c>
      <c r="E28" s="7">
        <f>IFERROR(INDEX(tblPayroll[Social Insurance],MATCH($B$3,tblPayroll[Employee ID],0)),0)</f>
        <v>210</v>
      </c>
    </row>
    <row r="29" spans="1:5" x14ac:dyDescent="0.25">
      <c r="A29" s="50" t="s">
        <v>16</v>
      </c>
      <c r="B29" s="50"/>
      <c r="C29" s="50"/>
      <c r="D29" s="3" t="str">
        <f>IF(IFERROR(INDEX(tblDeductions[Deduction Type],MATCH("D02",tblDeductions[Deduction ID],0)),"")="Percentage",TEXT(IFERROR(INDEX(tblDeductions[Percentage],MATCH("D02",tblDeductions[Deduction ID],0)),0),"0.00%"),"Fixed")</f>
        <v>2.00%</v>
      </c>
      <c r="E29" s="7">
        <f>IFERROR(INDEX(tblPayroll[Medical Insurance],MATCH($B$3,tblPayroll[Employee ID],0)),0)</f>
        <v>84</v>
      </c>
    </row>
    <row r="30" spans="1:5" x14ac:dyDescent="0.25">
      <c r="A30" s="50" t="s">
        <v>17</v>
      </c>
      <c r="B30" s="50"/>
      <c r="C30" s="50"/>
      <c r="D30" s="3" t="str">
        <f>IF(IFERROR(INDEX(tblDeductions[Deduction Type],MATCH("D03",tblDeductions[Deduction ID],0)),"")="Percentage",TEXT(IFERROR(INDEX(tblDeductions[Percentage],MATCH("D03",tblDeductions[Deduction ID],0)),0),"0.00%"),"Fixed")</f>
        <v>1.00%</v>
      </c>
      <c r="E30" s="7">
        <f>IFERROR(INDEX(tblPayroll[Employee Welfare Fund],MATCH($B$3,tblPayroll[Employee ID],0)),0)</f>
        <v>0</v>
      </c>
    </row>
    <row r="31" spans="1:5" x14ac:dyDescent="0.25">
      <c r="A31" s="50" t="s">
        <v>18</v>
      </c>
      <c r="B31" s="50"/>
      <c r="C31" s="50"/>
      <c r="D31" s="3" t="str">
        <f>IF(IFERROR(INDEX(tblDeductions[Deduction Type],MATCH("D04",tblDeductions[Deduction ID],0)),"")="Percentage",TEXT(IFERROR(INDEX(tblDeductions[Percentage],MATCH("D04",tblDeductions[Deduction ID],0)),0),"0.00%"),"Fixed")</f>
        <v>3.00%</v>
      </c>
      <c r="E31" s="7">
        <f>IFERROR(INDEX(tblPayroll[Pension],MATCH($B$3,tblPayroll[Employee ID],0)),0)</f>
        <v>0</v>
      </c>
    </row>
    <row r="32" spans="1:5" x14ac:dyDescent="0.25">
      <c r="A32" s="50" t="s">
        <v>19</v>
      </c>
      <c r="B32" s="50"/>
      <c r="C32" s="50"/>
      <c r="D32" s="3" t="str">
        <f>IF(IFERROR(INDEX(tblDeductions[Deduction Type],MATCH("D05",tblDeductions[Deduction ID],0)),"")="Percentage",TEXT(IFERROR(INDEX(tblDeductions[Percentage],MATCH("D05",tblDeductions[Deduction ID],0)),0),"0.00%"),"Fixed")</f>
        <v>Fixed</v>
      </c>
      <c r="E32" s="7">
        <f>IFERROR(INDEX(tblPayroll[Loan Repayment],MATCH($B$3,tblPayroll[Employee ID],0)),0)</f>
        <v>0</v>
      </c>
    </row>
    <row r="33" spans="1:6" x14ac:dyDescent="0.25">
      <c r="A33" s="50" t="s">
        <v>20</v>
      </c>
      <c r="B33" s="50"/>
      <c r="C33" s="50"/>
      <c r="D33" s="3" t="str">
        <f>IF(IFERROR(INDEX(tblDeductions[Deduction Type],MATCH("D06",tblDeductions[Deduction ID],0)),"")="Percentage",TEXT(IFERROR(INDEX(tblDeductions[Percentage],MATCH("D06",tblDeductions[Deduction ID],0)),0),"0.00%"),"Fixed")</f>
        <v>Fixed</v>
      </c>
      <c r="E33" s="7">
        <f>IFERROR(INDEX(tblPayroll[Salary Advance Recovery],MATCH($B$3,tblPayroll[Employee ID],0)),0)</f>
        <v>0</v>
      </c>
    </row>
    <row r="34" spans="1:6" x14ac:dyDescent="0.25">
      <c r="A34" s="49" t="s">
        <v>305</v>
      </c>
      <c r="B34" s="49"/>
      <c r="C34" s="49"/>
      <c r="D34" s="49"/>
      <c r="E34" s="29">
        <f>IFERROR(INDEX(tblPayroll[Total Deductions],MATCH($B$3,tblPayroll[Employee ID],0)),0)</f>
        <v>294</v>
      </c>
    </row>
    <row r="35" spans="1:6" x14ac:dyDescent="0.25">
      <c r="A35" s="50" t="s">
        <v>287</v>
      </c>
      <c r="B35" s="50"/>
      <c r="C35" s="50"/>
      <c r="D35" s="50"/>
      <c r="E35" s="7">
        <f>IFERROR(INDEX(tblPayroll[Unpaid Leave Deduction],MATCH($B$3,tblPayroll[Employee ID],0)),0)</f>
        <v>0</v>
      </c>
    </row>
    <row r="37" spans="1:6" ht="17.25" x14ac:dyDescent="0.3">
      <c r="A37" s="51" t="s">
        <v>306</v>
      </c>
      <c r="B37" s="51"/>
      <c r="C37" s="51"/>
      <c r="D37" s="51"/>
      <c r="E37" s="32">
        <f>IFERROR(INDEX(tblPayroll[Net Pay],MATCH($B$3,tblPayroll[Employee ID],0)),0)</f>
        <v>4459.8461538461543</v>
      </c>
    </row>
    <row r="39" spans="1:6" x14ac:dyDescent="0.25">
      <c r="A39" s="4" t="s">
        <v>307</v>
      </c>
      <c r="C39" s="52" t="str">
        <f>"PAY-"&amp;TEXT(PeriodStart,"YYYYMM")&amp;"-"&amp;$B$3</f>
        <v>PAY-202609-E001</v>
      </c>
      <c r="D39" s="52"/>
    </row>
    <row r="41" spans="1:6" x14ac:dyDescent="0.25">
      <c r="A41" s="30" t="s">
        <v>308</v>
      </c>
    </row>
    <row r="43" spans="1:6" x14ac:dyDescent="0.25">
      <c r="A43" s="30" t="s">
        <v>309</v>
      </c>
    </row>
    <row r="44" spans="1:6" x14ac:dyDescent="0.25">
      <c r="A44" s="53" t="s">
        <v>310</v>
      </c>
      <c r="B44" s="53"/>
      <c r="C44" s="53"/>
      <c r="D44" s="53"/>
      <c r="E44" s="53"/>
      <c r="F44" s="53"/>
    </row>
  </sheetData>
  <mergeCells count="30">
    <mergeCell ref="A1:F1"/>
    <mergeCell ref="A5:F5"/>
    <mergeCell ref="A9:F9"/>
    <mergeCell ref="C10:D10"/>
    <mergeCell ref="C11:D11"/>
    <mergeCell ref="C12:D12"/>
    <mergeCell ref="C13:D13"/>
    <mergeCell ref="C14:D14"/>
    <mergeCell ref="C15:D15"/>
    <mergeCell ref="A17:D17"/>
    <mergeCell ref="A18:D18"/>
    <mergeCell ref="A19:D19"/>
    <mergeCell ref="A20:D20"/>
    <mergeCell ref="A21:D21"/>
    <mergeCell ref="A22:D22"/>
    <mergeCell ref="A23:D23"/>
    <mergeCell ref="A24:D24"/>
    <mergeCell ref="A25:D25"/>
    <mergeCell ref="A27:C27"/>
    <mergeCell ref="A28:C28"/>
    <mergeCell ref="A29:C29"/>
    <mergeCell ref="A30:C30"/>
    <mergeCell ref="A31:C31"/>
    <mergeCell ref="A32:C32"/>
    <mergeCell ref="A33:C33"/>
    <mergeCell ref="A34:D34"/>
    <mergeCell ref="A35:D35"/>
    <mergeCell ref="A37:D37"/>
    <mergeCell ref="C39:D39"/>
    <mergeCell ref="A44:F44"/>
  </mergeCells>
  <pageMargins left="0.75" right="0.75" top="1" bottom="1"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F3864"/>
    <pageSetUpPr fitToPage="1"/>
  </sheetPr>
  <dimension ref="A1:M15"/>
  <sheetViews>
    <sheetView showGridLines="0" zoomScaleNormal="100" workbookViewId="0">
      <pane ySplit="4" topLeftCell="A5" activePane="bottomLeft" state="frozen"/>
      <selection pane="bottomLeft" sqref="A1:M1"/>
    </sheetView>
  </sheetViews>
  <sheetFormatPr defaultColWidth="8.7109375" defaultRowHeight="15" x14ac:dyDescent="0.25"/>
  <cols>
    <col min="1" max="1" width="11" customWidth="1"/>
    <col min="2" max="2" width="18" customWidth="1"/>
    <col min="3" max="3" width="16" customWidth="1"/>
    <col min="4" max="4" width="11" customWidth="1"/>
    <col min="5" max="5" width="10" customWidth="1"/>
    <col min="6" max="9" width="11" customWidth="1"/>
    <col min="10" max="10" width="10" customWidth="1"/>
    <col min="11" max="12" width="12" customWidth="1"/>
  </cols>
  <sheetData>
    <row r="1" spans="1:13" ht="27.75" customHeight="1" x14ac:dyDescent="0.25">
      <c r="A1" s="45" t="s">
        <v>311</v>
      </c>
      <c r="B1" s="45"/>
      <c r="C1" s="45"/>
      <c r="D1" s="45"/>
      <c r="E1" s="45"/>
      <c r="F1" s="45"/>
      <c r="G1" s="45"/>
      <c r="H1" s="45"/>
      <c r="I1" s="45"/>
      <c r="J1" s="45"/>
      <c r="K1" s="45"/>
      <c r="L1" s="45"/>
      <c r="M1" s="45"/>
    </row>
    <row r="2" spans="1:13" x14ac:dyDescent="0.25">
      <c r="A2" s="4" t="s">
        <v>1</v>
      </c>
      <c r="B2" s="3" t="str">
        <f>TEXT(PeriodStart,"mmmm yyyy")</f>
        <v>September 2026</v>
      </c>
    </row>
    <row r="4" spans="1:13" ht="38.25" x14ac:dyDescent="0.25">
      <c r="A4" s="6" t="s">
        <v>139</v>
      </c>
      <c r="B4" s="6" t="s">
        <v>140</v>
      </c>
      <c r="C4" s="6" t="s">
        <v>143</v>
      </c>
      <c r="D4" s="6" t="s">
        <v>312</v>
      </c>
      <c r="E4" s="6" t="s">
        <v>313</v>
      </c>
      <c r="F4" s="6" t="s">
        <v>238</v>
      </c>
      <c r="G4" s="6" t="s">
        <v>239</v>
      </c>
      <c r="H4" s="6" t="s">
        <v>240</v>
      </c>
      <c r="I4" s="6" t="s">
        <v>278</v>
      </c>
      <c r="J4" s="6" t="s">
        <v>242</v>
      </c>
      <c r="K4" s="6" t="s">
        <v>243</v>
      </c>
      <c r="L4" s="6" t="s">
        <v>10</v>
      </c>
    </row>
    <row r="5" spans="1:13" x14ac:dyDescent="0.25">
      <c r="A5" s="3" t="str">
        <f>IFERROR(INDEX(tblEmployees[Employee ID],1),"")</f>
        <v>E001</v>
      </c>
      <c r="B5" s="3" t="str">
        <f>IF(A5="","",IFERROR(INDEX(tblEmployees[Employee Name],MATCH(A5,tblEmployees[Employee ID],0)),""))</f>
        <v>Amelia Carter</v>
      </c>
      <c r="C5" s="3" t="str">
        <f>IF(A5="","",IFERROR(INDEX(tblEmployees[Department],MATCH(A5,tblEmployees[Employee ID],0)),""))</f>
        <v>Sales</v>
      </c>
      <c r="D5" s="25">
        <f>IF(A5="",0,COUNTIFS(tblAttendance[Employee ID],A5,tblAttendance[Date],"&gt;="&amp;PeriodStart,tblAttendance[Date],"&lt;="&amp;PeriodEnd,tblAttendance[Attendance Status],"&lt;&gt;Missing Clock In",tblAttendance[Attendance Status],"&lt;&gt;Missing Clock Out"))</f>
        <v>5</v>
      </c>
      <c r="E5" s="25">
        <f>IF(A5="",0,SUMIFS(tblLeave[Number of Days],tblLeave[Employee ID],A5,tblLeave[Approval Status],"Approved",tblLeave[Start Date],"&gt;="&amp;PeriodStart,tblLeave[End Date],"&lt;="&amp;PeriodEnd))</f>
        <v>1</v>
      </c>
      <c r="F5" s="7">
        <f>IF(A5="",0,SUMIFS(tblAttendance[Regular Hours],tblAttendance[Employee ID],A5,tblAttendance[Date],"&gt;="&amp;PeriodStart,tblAttendance[Date],"&lt;="&amp;PeriodEnd))</f>
        <v>39.64999999999997</v>
      </c>
      <c r="G5" s="7">
        <f>IF(A5="",0,SUMIFS(tblAttendance[Overtime Hours],tblAttendance[Employee ID],A5,tblAttendance[Date],"&gt;="&amp;PeriodStart,tblAttendance[Date],"&lt;="&amp;PeriodEnd))</f>
        <v>2.1333333333333417</v>
      </c>
      <c r="H5" s="7">
        <f>IF(A5="",0,SUMIFS(tblAttendance[Weekend Hours],tblAttendance[Employee ID],A5,tblAttendance[Date],"&gt;="&amp;PeriodStart,tblAttendance[Date],"&lt;="&amp;PeriodEnd))</f>
        <v>0</v>
      </c>
      <c r="I5" s="7">
        <f>IF(A5="",0,SUMIFS(tblAttendance[Public Holiday Hours],tblAttendance[Employee ID],A5,tblAttendance[Date],"&gt;="&amp;PeriodStart,tblAttendance[Date],"&lt;="&amp;PeriodEnd))</f>
        <v>0</v>
      </c>
      <c r="J5" s="25">
        <f>IF(A5="",0,SUMIFS(tblAttendance[Late Minutes],tblAttendance[Employee ID],A5,tblAttendance[Date],"&gt;="&amp;PeriodStart,tblAttendance[Date],"&lt;="&amp;PeriodEnd))</f>
        <v>10.000000000000171</v>
      </c>
      <c r="K5" s="25">
        <f>IF(A5="",0,SUMIFS(tblAttendance[Early Departure Minutes],tblAttendance[Employee ID],A5,tblAttendance[Date],"&gt;="&amp;PeriodStart,tblAttendance[Date],"&lt;="&amp;PeriodEnd))</f>
        <v>0</v>
      </c>
      <c r="L5" s="25">
        <f>IF(A5="",0,COUNTIFS(tblAttendance[Employee ID],A5,tblAttendance[Date],"&gt;="&amp;PeriodStart,tblAttendance[Date],"&lt;="&amp;PeriodEnd,tblAttendance[Attendance Status],"Missing Clock In")+COUNTIFS(tblAttendance[Employee ID],A5,tblAttendance[Date],"&gt;="&amp;PeriodStart,tblAttendance[Date],"&lt;="&amp;PeriodEnd,tblAttendance[Attendance Status],"Missing Clock Out"))</f>
        <v>0</v>
      </c>
    </row>
    <row r="6" spans="1:13" x14ac:dyDescent="0.25">
      <c r="A6" s="3" t="str">
        <f>IFERROR(INDEX(tblEmployees[Employee ID],2),"")</f>
        <v>E002</v>
      </c>
      <c r="B6" s="3" t="str">
        <f>IF(A6="","",IFERROR(INDEX(tblEmployees[Employee Name],MATCH(A6,tblEmployees[Employee ID],0)),""))</f>
        <v>Brian Osei</v>
      </c>
      <c r="C6" s="3" t="str">
        <f>IF(A6="","",IFERROR(INDEX(tblEmployees[Department],MATCH(A6,tblEmployees[Employee ID],0)),""))</f>
        <v>Operations</v>
      </c>
      <c r="D6" s="25">
        <f>IF(A6="",0,COUNTIFS(tblAttendance[Employee ID],A6,tblAttendance[Date],"&gt;="&amp;PeriodStart,tblAttendance[Date],"&lt;="&amp;PeriodEnd,tblAttendance[Attendance Status],"&lt;&gt;Missing Clock In",tblAttendance[Attendance Status],"&lt;&gt;Missing Clock Out"))</f>
        <v>4</v>
      </c>
      <c r="E6" s="25">
        <f>IF(A6="",0,SUMIFS(tblLeave[Number of Days],tblLeave[Employee ID],A6,tblLeave[Approval Status],"Approved",tblLeave[Start Date],"&gt;="&amp;PeriodStart,tblLeave[End Date],"&lt;="&amp;PeriodEnd))</f>
        <v>0</v>
      </c>
      <c r="F6" s="7">
        <f>IF(A6="",0,SUMIFS(tblAttendance[Regular Hours],tblAttendance[Employee ID],A6,tblAttendance[Date],"&gt;="&amp;PeriodStart,tblAttendance[Date],"&lt;="&amp;PeriodEnd))</f>
        <v>15.999999999999989</v>
      </c>
      <c r="G6" s="7">
        <f>IF(A6="",0,SUMIFS(tblAttendance[Overtime Hours],tblAttendance[Employee ID],A6,tblAttendance[Date],"&gt;="&amp;PeriodStart,tblAttendance[Date],"&lt;="&amp;PeriodEnd))</f>
        <v>0</v>
      </c>
      <c r="H6" s="7">
        <f>IF(A6="",0,SUMIFS(tblAttendance[Weekend Hours],tblAttendance[Employee ID],A6,tblAttendance[Date],"&gt;="&amp;PeriodStart,tblAttendance[Date],"&lt;="&amp;PeriodEnd))</f>
        <v>4.000000000000016</v>
      </c>
      <c r="I6" s="7">
        <f>IF(A6="",0,SUMIFS(tblAttendance[Public Holiday Hours],tblAttendance[Employee ID],A6,tblAttendance[Date],"&gt;="&amp;PeriodStart,tblAttendance[Date],"&lt;="&amp;PeriodEnd))</f>
        <v>5.0000000000000018</v>
      </c>
      <c r="J6" s="25">
        <f>IF(A6="",0,SUMIFS(tblAttendance[Late Minutes],tblAttendance[Employee ID],A6,tblAttendance[Date],"&gt;="&amp;PeriodStart,tblAttendance[Date],"&lt;="&amp;PeriodEnd))</f>
        <v>0</v>
      </c>
      <c r="K6" s="25">
        <f>IF(A6="",0,SUMIFS(tblAttendance[Early Departure Minutes],tblAttendance[Employee ID],A6,tblAttendance[Date],"&gt;="&amp;PeriodStart,tblAttendance[Date],"&lt;="&amp;PeriodEnd))</f>
        <v>419.99999999999915</v>
      </c>
      <c r="L6" s="25">
        <f>IF(A6="",0,COUNTIFS(tblAttendance[Employee ID],A6,tblAttendance[Date],"&gt;="&amp;PeriodStart,tblAttendance[Date],"&lt;="&amp;PeriodEnd,tblAttendance[Attendance Status],"Missing Clock In")+COUNTIFS(tblAttendance[Employee ID],A6,tblAttendance[Date],"&gt;="&amp;PeriodStart,tblAttendance[Date],"&lt;="&amp;PeriodEnd,tblAttendance[Attendance Status],"Missing Clock Out"))</f>
        <v>0</v>
      </c>
    </row>
    <row r="7" spans="1:13" x14ac:dyDescent="0.25">
      <c r="A7" s="3" t="str">
        <f>IFERROR(INDEX(tblEmployees[Employee ID],3),"")</f>
        <v>E003</v>
      </c>
      <c r="B7" s="3" t="str">
        <f>IF(A7="","",IFERROR(INDEX(tblEmployees[Employee Name],MATCH(A7,tblEmployees[Employee ID],0)),""))</f>
        <v>Carla Mendes</v>
      </c>
      <c r="C7" s="3" t="str">
        <f>IF(A7="","",IFERROR(INDEX(tblEmployees[Department],MATCH(A7,tblEmployees[Employee ID],0)),""))</f>
        <v>Finance</v>
      </c>
      <c r="D7" s="25">
        <f>IF(A7="",0,COUNTIFS(tblAttendance[Employee ID],A7,tblAttendance[Date],"&gt;="&amp;PeriodStart,tblAttendance[Date],"&lt;="&amp;PeriodEnd,tblAttendance[Attendance Status],"&lt;&gt;Missing Clock In",tblAttendance[Attendance Status],"&lt;&gt;Missing Clock Out"))</f>
        <v>3</v>
      </c>
      <c r="E7" s="25">
        <f>IF(A7="",0,SUMIFS(tblLeave[Number of Days],tblLeave[Employee ID],A7,tblLeave[Approval Status],"Approved",tblLeave[Start Date],"&gt;="&amp;PeriodStart,tblLeave[End Date],"&lt;="&amp;PeriodEnd))</f>
        <v>0</v>
      </c>
      <c r="F7" s="7">
        <f>IF(A7="",0,SUMIFS(tblAttendance[Regular Hours],tblAttendance[Employee ID],A7,tblAttendance[Date],"&gt;="&amp;PeriodStart,tblAttendance[Date],"&lt;="&amp;PeriodEnd))</f>
        <v>23.999999999999986</v>
      </c>
      <c r="G7" s="7">
        <f>IF(A7="",0,SUMIFS(tblAttendance[Overtime Hours],tblAttendance[Employee ID],A7,tblAttendance[Date],"&gt;="&amp;PeriodStart,tblAttendance[Date],"&lt;="&amp;PeriodEnd))</f>
        <v>0</v>
      </c>
      <c r="H7" s="7">
        <f>IF(A7="",0,SUMIFS(tblAttendance[Weekend Hours],tblAttendance[Employee ID],A7,tblAttendance[Date],"&gt;="&amp;PeriodStart,tblAttendance[Date],"&lt;="&amp;PeriodEnd))</f>
        <v>0</v>
      </c>
      <c r="I7" s="7">
        <f>IF(A7="",0,SUMIFS(tblAttendance[Public Holiday Hours],tblAttendance[Employee ID],A7,tblAttendance[Date],"&gt;="&amp;PeriodStart,tblAttendance[Date],"&lt;="&amp;PeriodEnd))</f>
        <v>0</v>
      </c>
      <c r="J7" s="25">
        <f>IF(A7="",0,SUMIFS(tblAttendance[Late Minutes],tblAttendance[Employee ID],A7,tblAttendance[Date],"&gt;="&amp;PeriodStart,tblAttendance[Date],"&lt;="&amp;PeriodEnd))</f>
        <v>0</v>
      </c>
      <c r="K7" s="25">
        <f>IF(A7="",0,SUMIFS(tblAttendance[Early Departure Minutes],tblAttendance[Employee ID],A7,tblAttendance[Date],"&gt;="&amp;PeriodStart,tblAttendance[Date],"&lt;="&amp;PeriodEnd))</f>
        <v>0</v>
      </c>
      <c r="L7" s="25">
        <f>IF(A7="",0,COUNTIFS(tblAttendance[Employee ID],A7,tblAttendance[Date],"&gt;="&amp;PeriodStart,tblAttendance[Date],"&lt;="&amp;PeriodEnd,tblAttendance[Attendance Status],"Missing Clock In")+COUNTIFS(tblAttendance[Employee ID],A7,tblAttendance[Date],"&gt;="&amp;PeriodStart,tblAttendance[Date],"&lt;="&amp;PeriodEnd,tblAttendance[Attendance Status],"Missing Clock Out"))</f>
        <v>0</v>
      </c>
    </row>
    <row r="8" spans="1:13" x14ac:dyDescent="0.25">
      <c r="A8" s="3" t="str">
        <f>IFERROR(INDEX(tblEmployees[Employee ID],4),"")</f>
        <v>E004</v>
      </c>
      <c r="B8" s="3" t="str">
        <f>IF(A8="","",IFERROR(INDEX(tblEmployees[Employee Name],MATCH(A8,tblEmployees[Employee ID],0)),""))</f>
        <v>David Kim</v>
      </c>
      <c r="C8" s="3" t="str">
        <f>IF(A8="","",IFERROR(INDEX(tblEmployees[Department],MATCH(A8,tblEmployees[Employee ID],0)),""))</f>
        <v>IT &amp; Engineering</v>
      </c>
      <c r="D8" s="25">
        <f>IF(A8="",0,COUNTIFS(tblAttendance[Employee ID],A8,tblAttendance[Date],"&gt;="&amp;PeriodStart,tblAttendance[Date],"&lt;="&amp;PeriodEnd,tblAttendance[Attendance Status],"&lt;&gt;Missing Clock In",tblAttendance[Attendance Status],"&lt;&gt;Missing Clock Out"))</f>
        <v>2</v>
      </c>
      <c r="E8" s="25">
        <f>IF(A8="",0,SUMIFS(tblLeave[Number of Days],tblLeave[Employee ID],A8,tblLeave[Approval Status],"Approved",tblLeave[Start Date],"&gt;="&amp;PeriodStart,tblLeave[End Date],"&lt;="&amp;PeriodEnd))</f>
        <v>0</v>
      </c>
      <c r="F8" s="7">
        <f>IF(A8="",0,SUMIFS(tblAttendance[Regular Hours],tblAttendance[Employee ID],A8,tblAttendance[Date],"&gt;="&amp;PeriodStart,tblAttendance[Date],"&lt;="&amp;PeriodEnd))</f>
        <v>15.999999999999989</v>
      </c>
      <c r="G8" s="7">
        <f>IF(A8="",0,SUMIFS(tblAttendance[Overtime Hours],tblAttendance[Employee ID],A8,tblAttendance[Date],"&gt;="&amp;PeriodStart,tblAttendance[Date],"&lt;="&amp;PeriodEnd))</f>
        <v>0</v>
      </c>
      <c r="H8" s="7">
        <f>IF(A8="",0,SUMIFS(tblAttendance[Weekend Hours],tblAttendance[Employee ID],A8,tblAttendance[Date],"&gt;="&amp;PeriodStart,tblAttendance[Date],"&lt;="&amp;PeriodEnd))</f>
        <v>0</v>
      </c>
      <c r="I8" s="7">
        <f>IF(A8="",0,SUMIFS(tblAttendance[Public Holiday Hours],tblAttendance[Employee ID],A8,tblAttendance[Date],"&gt;="&amp;PeriodStart,tblAttendance[Date],"&lt;="&amp;PeriodEnd))</f>
        <v>0</v>
      </c>
      <c r="J8" s="25">
        <f>IF(A8="",0,SUMIFS(tblAttendance[Late Minutes],tblAttendance[Employee ID],A8,tblAttendance[Date],"&gt;="&amp;PeriodStart,tblAttendance[Date],"&lt;="&amp;PeriodEnd))</f>
        <v>0</v>
      </c>
      <c r="K8" s="25">
        <f>IF(A8="",0,SUMIFS(tblAttendance[Early Departure Minutes],tblAttendance[Employee ID],A8,tblAttendance[Date],"&gt;="&amp;PeriodStart,tblAttendance[Date],"&lt;="&amp;PeriodEnd))</f>
        <v>0</v>
      </c>
      <c r="L8" s="25">
        <f>IF(A8="",0,COUNTIFS(tblAttendance[Employee ID],A8,tblAttendance[Date],"&gt;="&amp;PeriodStart,tblAttendance[Date],"&lt;="&amp;PeriodEnd,tblAttendance[Attendance Status],"Missing Clock In")+COUNTIFS(tblAttendance[Employee ID],A8,tblAttendance[Date],"&gt;="&amp;PeriodStart,tblAttendance[Date],"&lt;="&amp;PeriodEnd,tblAttendance[Attendance Status],"Missing Clock Out"))</f>
        <v>1</v>
      </c>
    </row>
    <row r="9" spans="1:13" x14ac:dyDescent="0.25">
      <c r="A9" s="3" t="str">
        <f>IFERROR(INDEX(tblEmployees[Employee ID],5),"")</f>
        <v>E005</v>
      </c>
      <c r="B9" s="3" t="str">
        <f>IF(A9="","",IFERROR(INDEX(tblEmployees[Employee Name],MATCH(A9,tblEmployees[Employee ID],0)),""))</f>
        <v>Elena Petrova</v>
      </c>
      <c r="C9" s="3" t="str">
        <f>IF(A9="","",IFERROR(INDEX(tblEmployees[Department],MATCH(A9,tblEmployees[Employee ID],0)),""))</f>
        <v>Sales</v>
      </c>
      <c r="D9" s="25">
        <f>IF(A9="",0,COUNTIFS(tblAttendance[Employee ID],A9,tblAttendance[Date],"&gt;="&amp;PeriodStart,tblAttendance[Date],"&lt;="&amp;PeriodEnd,tblAttendance[Attendance Status],"&lt;&gt;Missing Clock In",tblAttendance[Attendance Status],"&lt;&gt;Missing Clock Out"))</f>
        <v>3</v>
      </c>
      <c r="E9" s="25">
        <f>IF(A9="",0,SUMIFS(tblLeave[Number of Days],tblLeave[Employee ID],A9,tblLeave[Approval Status],"Approved",tblLeave[Start Date],"&gt;="&amp;PeriodStart,tblLeave[End Date],"&lt;="&amp;PeriodEnd))</f>
        <v>3</v>
      </c>
      <c r="F9" s="7">
        <f>IF(A9="",0,SUMIFS(tblAttendance[Regular Hours],tblAttendance[Employee ID],A9,tblAttendance[Date],"&gt;="&amp;PeriodStart,tblAttendance[Date],"&lt;="&amp;PeriodEnd))</f>
        <v>23.999999999999986</v>
      </c>
      <c r="G9" s="7">
        <f>IF(A9="",0,SUMIFS(tblAttendance[Overtime Hours],tblAttendance[Employee ID],A9,tblAttendance[Date],"&gt;="&amp;PeriodStart,tblAttendance[Date],"&lt;="&amp;PeriodEnd))</f>
        <v>0</v>
      </c>
      <c r="H9" s="7">
        <f>IF(A9="",0,SUMIFS(tblAttendance[Weekend Hours],tblAttendance[Employee ID],A9,tblAttendance[Date],"&gt;="&amp;PeriodStart,tblAttendance[Date],"&lt;="&amp;PeriodEnd))</f>
        <v>0</v>
      </c>
      <c r="I9" s="7">
        <f>IF(A9="",0,SUMIFS(tblAttendance[Public Holiday Hours],tblAttendance[Employee ID],A9,tblAttendance[Date],"&gt;="&amp;PeriodStart,tblAttendance[Date],"&lt;="&amp;PeriodEnd))</f>
        <v>0</v>
      </c>
      <c r="J9" s="25">
        <f>IF(A9="",0,SUMIFS(tblAttendance[Late Minutes],tblAttendance[Employee ID],A9,tblAttendance[Date],"&gt;="&amp;PeriodStart,tblAttendance[Date],"&lt;="&amp;PeriodEnd))</f>
        <v>0</v>
      </c>
      <c r="K9" s="25">
        <f>IF(A9="",0,SUMIFS(tblAttendance[Early Departure Minutes],tblAttendance[Employee ID],A9,tblAttendance[Date],"&gt;="&amp;PeriodStart,tblAttendance[Date],"&lt;="&amp;PeriodEnd))</f>
        <v>0</v>
      </c>
      <c r="L9" s="25">
        <f>IF(A9="",0,COUNTIFS(tblAttendance[Employee ID],A9,tblAttendance[Date],"&gt;="&amp;PeriodStart,tblAttendance[Date],"&lt;="&amp;PeriodEnd,tblAttendance[Attendance Status],"Missing Clock In")+COUNTIFS(tblAttendance[Employee ID],A9,tblAttendance[Date],"&gt;="&amp;PeriodStart,tblAttendance[Date],"&lt;="&amp;PeriodEnd,tblAttendance[Attendance Status],"Missing Clock Out"))</f>
        <v>0</v>
      </c>
    </row>
    <row r="10" spans="1:13" x14ac:dyDescent="0.25">
      <c r="A10" s="3" t="str">
        <f>IFERROR(INDEX(tblEmployees[Employee ID],6),"")</f>
        <v>E006</v>
      </c>
      <c r="B10" s="3" t="str">
        <f>IF(A10="","",IFERROR(INDEX(tblEmployees[Employee Name],MATCH(A10,tblEmployees[Employee ID],0)),""))</f>
        <v>Farhan Ali</v>
      </c>
      <c r="C10" s="3" t="str">
        <f>IF(A10="","",IFERROR(INDEX(tblEmployees[Department],MATCH(A10,tblEmployees[Employee ID],0)),""))</f>
        <v>Operations</v>
      </c>
      <c r="D10" s="25">
        <f>IF(A10="",0,COUNTIFS(tblAttendance[Employee ID],A10,tblAttendance[Date],"&gt;="&amp;PeriodStart,tblAttendance[Date],"&lt;="&amp;PeriodEnd,tblAttendance[Attendance Status],"&lt;&gt;Missing Clock In",tblAttendance[Attendance Status],"&lt;&gt;Missing Clock Out"))</f>
        <v>2</v>
      </c>
      <c r="E10" s="25">
        <f>IF(A10="",0,SUMIFS(tblLeave[Number of Days],tblLeave[Employee ID],A10,tblLeave[Approval Status],"Approved",tblLeave[Start Date],"&gt;="&amp;PeriodStart,tblLeave[End Date],"&lt;="&amp;PeriodEnd))</f>
        <v>0</v>
      </c>
      <c r="F10" s="7">
        <f>IF(A10="",0,SUMIFS(tblAttendance[Regular Hours],tblAttendance[Employee ID],A10,tblAttendance[Date],"&gt;="&amp;PeriodStart,tblAttendance[Date],"&lt;="&amp;PeriodEnd))</f>
        <v>15.166666666666647</v>
      </c>
      <c r="G10" s="7">
        <f>IF(A10="",0,SUMIFS(tblAttendance[Overtime Hours],tblAttendance[Employee ID],A10,tblAttendance[Date],"&gt;="&amp;PeriodStart,tblAttendance[Date],"&lt;="&amp;PeriodEnd))</f>
        <v>0</v>
      </c>
      <c r="H10" s="7">
        <f>IF(A10="",0,SUMIFS(tblAttendance[Weekend Hours],tblAttendance[Employee ID],A10,tblAttendance[Date],"&gt;="&amp;PeriodStart,tblAttendance[Date],"&lt;="&amp;PeriodEnd))</f>
        <v>0</v>
      </c>
      <c r="I10" s="7">
        <f>IF(A10="",0,SUMIFS(tblAttendance[Public Holiday Hours],tblAttendance[Employee ID],A10,tblAttendance[Date],"&gt;="&amp;PeriodStart,tblAttendance[Date],"&lt;="&amp;PeriodEnd))</f>
        <v>0</v>
      </c>
      <c r="J10" s="25">
        <f>IF(A10="",0,SUMIFS(tblAttendance[Late Minutes],tblAttendance[Employee ID],A10,tblAttendance[Date],"&gt;="&amp;PeriodStart,tblAttendance[Date],"&lt;="&amp;PeriodEnd))</f>
        <v>0</v>
      </c>
      <c r="K10" s="25">
        <f>IF(A10="",0,SUMIFS(tblAttendance[Early Departure Minutes],tblAttendance[Employee ID],A10,tblAttendance[Date],"&gt;="&amp;PeriodStart,tblAttendance[Date],"&lt;="&amp;PeriodEnd))</f>
        <v>0</v>
      </c>
      <c r="L10" s="25">
        <f>IF(A10="",0,COUNTIFS(tblAttendance[Employee ID],A10,tblAttendance[Date],"&gt;="&amp;PeriodStart,tblAttendance[Date],"&lt;="&amp;PeriodEnd,tblAttendance[Attendance Status],"Missing Clock In")+COUNTIFS(tblAttendance[Employee ID],A10,tblAttendance[Date],"&gt;="&amp;PeriodStart,tblAttendance[Date],"&lt;="&amp;PeriodEnd,tblAttendance[Attendance Status],"Missing Clock Out"))</f>
        <v>0</v>
      </c>
    </row>
    <row r="11" spans="1:13" x14ac:dyDescent="0.25">
      <c r="A11" s="3" t="str">
        <f>IFERROR(INDEX(tblEmployees[Employee ID],7),"")</f>
        <v>E007</v>
      </c>
      <c r="B11" s="3" t="str">
        <f>IF(A11="","",IFERROR(INDEX(tblEmployees[Employee Name],MATCH(A11,tblEmployees[Employee ID],0)),""))</f>
        <v>Grace Njoroge</v>
      </c>
      <c r="C11" s="3" t="str">
        <f>IF(A11="","",IFERROR(INDEX(tblEmployees[Department],MATCH(A11,tblEmployees[Employee ID],0)),""))</f>
        <v>Operations</v>
      </c>
      <c r="D11" s="25">
        <f>IF(A11="",0,COUNTIFS(tblAttendance[Employee ID],A11,tblAttendance[Date],"&gt;="&amp;PeriodStart,tblAttendance[Date],"&lt;="&amp;PeriodEnd,tblAttendance[Attendance Status],"&lt;&gt;Missing Clock In",tblAttendance[Attendance Status],"&lt;&gt;Missing Clock Out"))</f>
        <v>2</v>
      </c>
      <c r="E11" s="25">
        <f>IF(A11="",0,SUMIFS(tblLeave[Number of Days],tblLeave[Employee ID],A11,tblLeave[Approval Status],"Approved",tblLeave[Start Date],"&gt;="&amp;PeriodStart,tblLeave[End Date],"&lt;="&amp;PeriodEnd))</f>
        <v>0</v>
      </c>
      <c r="F11" s="7">
        <f>IF(A11="",0,SUMIFS(tblAttendance[Regular Hours],tblAttendance[Employee ID],A11,tblAttendance[Date],"&gt;="&amp;PeriodStart,tblAttendance[Date],"&lt;="&amp;PeriodEnd))</f>
        <v>15.999999999999989</v>
      </c>
      <c r="G11" s="7">
        <f>IF(A11="",0,SUMIFS(tblAttendance[Overtime Hours],tblAttendance[Employee ID],A11,tblAttendance[Date],"&gt;="&amp;PeriodStart,tblAttendance[Date],"&lt;="&amp;PeriodEnd))</f>
        <v>0</v>
      </c>
      <c r="H11" s="7">
        <f>IF(A11="",0,SUMIFS(tblAttendance[Weekend Hours],tblAttendance[Employee ID],A11,tblAttendance[Date],"&gt;="&amp;PeriodStart,tblAttendance[Date],"&lt;="&amp;PeriodEnd))</f>
        <v>0</v>
      </c>
      <c r="I11" s="7">
        <f>IF(A11="",0,SUMIFS(tblAttendance[Public Holiday Hours],tblAttendance[Employee ID],A11,tblAttendance[Date],"&gt;="&amp;PeriodStart,tblAttendance[Date],"&lt;="&amp;PeriodEnd))</f>
        <v>0</v>
      </c>
      <c r="J11" s="25">
        <f>IF(A11="",0,SUMIFS(tblAttendance[Late Minutes],tblAttendance[Employee ID],A11,tblAttendance[Date],"&gt;="&amp;PeriodStart,tblAttendance[Date],"&lt;="&amp;PeriodEnd))</f>
        <v>0</v>
      </c>
      <c r="K11" s="25">
        <f>IF(A11="",0,SUMIFS(tblAttendance[Early Departure Minutes],tblAttendance[Employee ID],A11,tblAttendance[Date],"&gt;="&amp;PeriodStart,tblAttendance[Date],"&lt;="&amp;PeriodEnd))</f>
        <v>0</v>
      </c>
      <c r="L11" s="25">
        <f>IF(A11="",0,COUNTIFS(tblAttendance[Employee ID],A11,tblAttendance[Date],"&gt;="&amp;PeriodStart,tblAttendance[Date],"&lt;="&amp;PeriodEnd,tblAttendance[Attendance Status],"Missing Clock In")+COUNTIFS(tblAttendance[Employee ID],A11,tblAttendance[Date],"&gt;="&amp;PeriodStart,tblAttendance[Date],"&lt;="&amp;PeriodEnd,tblAttendance[Attendance Status],"Missing Clock Out"))</f>
        <v>0</v>
      </c>
    </row>
    <row r="12" spans="1:13" x14ac:dyDescent="0.25">
      <c r="A12" s="3" t="str">
        <f>IFERROR(INDEX(tblEmployees[Employee ID],8),"")</f>
        <v>E008</v>
      </c>
      <c r="B12" s="3" t="str">
        <f>IF(A12="","",IFERROR(INDEX(tblEmployees[Employee Name],MATCH(A12,tblEmployees[Employee ID],0)),""))</f>
        <v>Hiro Tanaka</v>
      </c>
      <c r="C12" s="3" t="str">
        <f>IF(A12="","",IFERROR(INDEX(tblEmployees[Department],MATCH(A12,tblEmployees[Employee ID],0)),""))</f>
        <v>IT &amp; Engineering</v>
      </c>
      <c r="D12" s="25">
        <f>IF(A12="",0,COUNTIFS(tblAttendance[Employee ID],A12,tblAttendance[Date],"&gt;="&amp;PeriodStart,tblAttendance[Date],"&lt;="&amp;PeriodEnd,tblAttendance[Attendance Status],"&lt;&gt;Missing Clock In",tblAttendance[Attendance Status],"&lt;&gt;Missing Clock Out"))</f>
        <v>2</v>
      </c>
      <c r="E12" s="25">
        <f>IF(A12="",0,SUMIFS(tblLeave[Number of Days],tblLeave[Employee ID],A12,tblLeave[Approval Status],"Approved",tblLeave[Start Date],"&gt;="&amp;PeriodStart,tblLeave[End Date],"&lt;="&amp;PeriodEnd))</f>
        <v>0</v>
      </c>
      <c r="F12" s="7">
        <f>IF(A12="",0,SUMIFS(tblAttendance[Regular Hours],tblAttendance[Employee ID],A12,tblAttendance[Date],"&gt;="&amp;PeriodStart,tblAttendance[Date],"&lt;="&amp;PeriodEnd))</f>
        <v>15.999999999999989</v>
      </c>
      <c r="G12" s="7">
        <f>IF(A12="",0,SUMIFS(tblAttendance[Overtime Hours],tblAttendance[Employee ID],A12,tblAttendance[Date],"&gt;="&amp;PeriodStart,tblAttendance[Date],"&lt;="&amp;PeriodEnd))</f>
        <v>0</v>
      </c>
      <c r="H12" s="7">
        <f>IF(A12="",0,SUMIFS(tblAttendance[Weekend Hours],tblAttendance[Employee ID],A12,tblAttendance[Date],"&gt;="&amp;PeriodStart,tblAttendance[Date],"&lt;="&amp;PeriodEnd))</f>
        <v>0</v>
      </c>
      <c r="I12" s="7">
        <f>IF(A12="",0,SUMIFS(tblAttendance[Public Holiday Hours],tblAttendance[Employee ID],A12,tblAttendance[Date],"&gt;="&amp;PeriodStart,tblAttendance[Date],"&lt;="&amp;PeriodEnd))</f>
        <v>0</v>
      </c>
      <c r="J12" s="25">
        <f>IF(A12="",0,SUMIFS(tblAttendance[Late Minutes],tblAttendance[Employee ID],A12,tblAttendance[Date],"&gt;="&amp;PeriodStart,tblAttendance[Date],"&lt;="&amp;PeriodEnd))</f>
        <v>0</v>
      </c>
      <c r="K12" s="25">
        <f>IF(A12="",0,SUMIFS(tblAttendance[Early Departure Minutes],tblAttendance[Employee ID],A12,tblAttendance[Date],"&gt;="&amp;PeriodStart,tblAttendance[Date],"&lt;="&amp;PeriodEnd))</f>
        <v>0</v>
      </c>
      <c r="L12" s="25">
        <f>IF(A12="",0,COUNTIFS(tblAttendance[Employee ID],A12,tblAttendance[Date],"&gt;="&amp;PeriodStart,tblAttendance[Date],"&lt;="&amp;PeriodEnd,tblAttendance[Attendance Status],"Missing Clock In")+COUNTIFS(tblAttendance[Employee ID],A12,tblAttendance[Date],"&gt;="&amp;PeriodStart,tblAttendance[Date],"&lt;="&amp;PeriodEnd,tblAttendance[Attendance Status],"Missing Clock Out"))</f>
        <v>0</v>
      </c>
    </row>
    <row r="13" spans="1:13" x14ac:dyDescent="0.25">
      <c r="A13" s="3" t="str">
        <f>IFERROR(INDEX(tblEmployees[Employee ID],9),"")</f>
        <v>E009</v>
      </c>
      <c r="B13" s="3" t="str">
        <f>IF(A13="","",IFERROR(INDEX(tblEmployees[Employee Name],MATCH(A13,tblEmployees[Employee ID],0)),""))</f>
        <v>Isabella Rossi</v>
      </c>
      <c r="C13" s="3" t="str">
        <f>IF(A13="","",IFERROR(INDEX(tblEmployees[Department],MATCH(A13,tblEmployees[Employee ID],0)),""))</f>
        <v>Human Resources</v>
      </c>
      <c r="D13" s="25">
        <f>IF(A13="",0,COUNTIFS(tblAttendance[Employee ID],A13,tblAttendance[Date],"&gt;="&amp;PeriodStart,tblAttendance[Date],"&lt;="&amp;PeriodEnd,tblAttendance[Attendance Status],"&lt;&gt;Missing Clock In",tblAttendance[Attendance Status],"&lt;&gt;Missing Clock Out"))</f>
        <v>2</v>
      </c>
      <c r="E13" s="25">
        <f>IF(A13="",0,SUMIFS(tblLeave[Number of Days],tblLeave[Employee ID],A13,tblLeave[Approval Status],"Approved",tblLeave[Start Date],"&gt;="&amp;PeriodStart,tblLeave[End Date],"&lt;="&amp;PeriodEnd))</f>
        <v>2</v>
      </c>
      <c r="F13" s="7">
        <f>IF(A13="",0,SUMIFS(tblAttendance[Regular Hours],tblAttendance[Employee ID],A13,tblAttendance[Date],"&gt;="&amp;PeriodStart,tblAttendance[Date],"&lt;="&amp;PeriodEnd))</f>
        <v>15.999999999999989</v>
      </c>
      <c r="G13" s="7">
        <f>IF(A13="",0,SUMIFS(tblAttendance[Overtime Hours],tblAttendance[Employee ID],A13,tblAttendance[Date],"&gt;="&amp;PeriodStart,tblAttendance[Date],"&lt;="&amp;PeriodEnd))</f>
        <v>0</v>
      </c>
      <c r="H13" s="7">
        <f>IF(A13="",0,SUMIFS(tblAttendance[Weekend Hours],tblAttendance[Employee ID],A13,tblAttendance[Date],"&gt;="&amp;PeriodStart,tblAttendance[Date],"&lt;="&amp;PeriodEnd))</f>
        <v>0</v>
      </c>
      <c r="I13" s="7">
        <f>IF(A13="",0,SUMIFS(tblAttendance[Public Holiday Hours],tblAttendance[Employee ID],A13,tblAttendance[Date],"&gt;="&amp;PeriodStart,tblAttendance[Date],"&lt;="&amp;PeriodEnd))</f>
        <v>0</v>
      </c>
      <c r="J13" s="25">
        <f>IF(A13="",0,SUMIFS(tblAttendance[Late Minutes],tblAttendance[Employee ID],A13,tblAttendance[Date],"&gt;="&amp;PeriodStart,tblAttendance[Date],"&lt;="&amp;PeriodEnd))</f>
        <v>0</v>
      </c>
      <c r="K13" s="25">
        <f>IF(A13="",0,SUMIFS(tblAttendance[Early Departure Minutes],tblAttendance[Employee ID],A13,tblAttendance[Date],"&gt;="&amp;PeriodStart,tblAttendance[Date],"&lt;="&amp;PeriodEnd))</f>
        <v>0</v>
      </c>
      <c r="L13" s="25">
        <f>IF(A13="",0,COUNTIFS(tblAttendance[Employee ID],A13,tblAttendance[Date],"&gt;="&amp;PeriodStart,tblAttendance[Date],"&lt;="&amp;PeriodEnd,tblAttendance[Attendance Status],"Missing Clock In")+COUNTIFS(tblAttendance[Employee ID],A13,tblAttendance[Date],"&gt;="&amp;PeriodStart,tblAttendance[Date],"&lt;="&amp;PeriodEnd,tblAttendance[Attendance Status],"Missing Clock Out"))</f>
        <v>0</v>
      </c>
    </row>
    <row r="14" spans="1:13" x14ac:dyDescent="0.25">
      <c r="A14" s="3" t="str">
        <f>IFERROR(INDEX(tblEmployees[Employee ID],10),"")</f>
        <v>E010</v>
      </c>
      <c r="B14" s="3" t="str">
        <f>IF(A14="","",IFERROR(INDEX(tblEmployees[Employee Name],MATCH(A14,tblEmployees[Employee ID],0)),""))</f>
        <v>Jonah Baptiste</v>
      </c>
      <c r="C14" s="3" t="str">
        <f>IF(A14="","",IFERROR(INDEX(tblEmployees[Department],MATCH(A14,tblEmployees[Employee ID],0)),""))</f>
        <v>Finance</v>
      </c>
      <c r="D14" s="25">
        <f>IF(A14="",0,COUNTIFS(tblAttendance[Employee ID],A14,tblAttendance[Date],"&gt;="&amp;PeriodStart,tblAttendance[Date],"&lt;="&amp;PeriodEnd,tblAttendance[Attendance Status],"&lt;&gt;Missing Clock In",tblAttendance[Attendance Status],"&lt;&gt;Missing Clock Out"))</f>
        <v>2</v>
      </c>
      <c r="E14" s="25">
        <f>IF(A14="",0,SUMIFS(tblLeave[Number of Days],tblLeave[Employee ID],A14,tblLeave[Approval Status],"Approved",tblLeave[Start Date],"&gt;="&amp;PeriodStart,tblLeave[End Date],"&lt;="&amp;PeriodEnd))</f>
        <v>0</v>
      </c>
      <c r="F14" s="7">
        <f>IF(A14="",0,SUMIFS(tblAttendance[Regular Hours],tblAttendance[Employee ID],A14,tblAttendance[Date],"&gt;="&amp;PeriodStart,tblAttendance[Date],"&lt;="&amp;PeriodEnd))</f>
        <v>15.999999999999995</v>
      </c>
      <c r="G14" s="7">
        <f>IF(A14="",0,SUMIFS(tblAttendance[Overtime Hours],tblAttendance[Employee ID],A14,tblAttendance[Date],"&gt;="&amp;PeriodStart,tblAttendance[Date],"&lt;="&amp;PeriodEnd))</f>
        <v>2.9999999999999929</v>
      </c>
      <c r="H14" s="7">
        <f>IF(A14="",0,SUMIFS(tblAttendance[Weekend Hours],tblAttendance[Employee ID],A14,tblAttendance[Date],"&gt;="&amp;PeriodStart,tblAttendance[Date],"&lt;="&amp;PeriodEnd))</f>
        <v>0</v>
      </c>
      <c r="I14" s="7">
        <f>IF(A14="",0,SUMIFS(tblAttendance[Public Holiday Hours],tblAttendance[Employee ID],A14,tblAttendance[Date],"&gt;="&amp;PeriodStart,tblAttendance[Date],"&lt;="&amp;PeriodEnd))</f>
        <v>0</v>
      </c>
      <c r="J14" s="25">
        <f>IF(A14="",0,SUMIFS(tblAttendance[Late Minutes],tblAttendance[Employee ID],A14,tblAttendance[Date],"&gt;="&amp;PeriodStart,tblAttendance[Date],"&lt;="&amp;PeriodEnd))</f>
        <v>0</v>
      </c>
      <c r="K14" s="25">
        <f>IF(A14="",0,SUMIFS(tblAttendance[Early Departure Minutes],tblAttendance[Employee ID],A14,tblAttendance[Date],"&gt;="&amp;PeriodStart,tblAttendance[Date],"&lt;="&amp;PeriodEnd))</f>
        <v>0</v>
      </c>
      <c r="L14" s="25">
        <f>IF(A14="",0,COUNTIFS(tblAttendance[Employee ID],A14,tblAttendance[Date],"&gt;="&amp;PeriodStart,tblAttendance[Date],"&lt;="&amp;PeriodEnd,tblAttendance[Attendance Status],"Missing Clock In")+COUNTIFS(tblAttendance[Employee ID],A14,tblAttendance[Date],"&gt;="&amp;PeriodStart,tblAttendance[Date],"&lt;="&amp;PeriodEnd,tblAttendance[Attendance Status],"Missing Clock Out"))</f>
        <v>0</v>
      </c>
    </row>
    <row r="15" spans="1:13" x14ac:dyDescent="0.25">
      <c r="A15" s="4" t="s">
        <v>314</v>
      </c>
      <c r="D15" s="29">
        <f t="shared" ref="D15:L15" si="0">SUM(D5:D14)</f>
        <v>27</v>
      </c>
      <c r="E15" s="29">
        <f t="shared" si="0"/>
        <v>6</v>
      </c>
      <c r="F15" s="29">
        <f t="shared" si="0"/>
        <v>198.81666666666658</v>
      </c>
      <c r="G15" s="29">
        <f t="shared" si="0"/>
        <v>5.1333333333333346</v>
      </c>
      <c r="H15" s="29">
        <f t="shared" si="0"/>
        <v>4.000000000000016</v>
      </c>
      <c r="I15" s="29">
        <f t="shared" si="0"/>
        <v>5.0000000000000018</v>
      </c>
      <c r="J15" s="29">
        <f t="shared" si="0"/>
        <v>10.000000000000171</v>
      </c>
      <c r="K15" s="29">
        <f t="shared" si="0"/>
        <v>419.99999999999915</v>
      </c>
      <c r="L15" s="29">
        <f t="shared" si="0"/>
        <v>1</v>
      </c>
    </row>
  </sheetData>
  <mergeCells count="1">
    <mergeCell ref="A1:M1"/>
  </mergeCells>
  <pageMargins left="0.4" right="0.4" top="0.5" bottom="0.5" header="0.511811023622047" footer="0.511811023622047"/>
  <pageSetup fitToHeight="0" orientation="landscape"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F3864"/>
    <pageSetUpPr fitToPage="1"/>
  </sheetPr>
  <dimension ref="A1:I10"/>
  <sheetViews>
    <sheetView showGridLines="0" zoomScaleNormal="100" workbookViewId="0">
      <selection sqref="A1:H1"/>
    </sheetView>
  </sheetViews>
  <sheetFormatPr defaultColWidth="8.7109375" defaultRowHeight="15" x14ac:dyDescent="0.25"/>
  <cols>
    <col min="1" max="1" width="18" customWidth="1"/>
    <col min="2" max="3" width="14" customWidth="1"/>
    <col min="4" max="6" width="13" customWidth="1"/>
    <col min="7" max="9" width="14" customWidth="1"/>
  </cols>
  <sheetData>
    <row r="1" spans="1:9" ht="27.75" customHeight="1" x14ac:dyDescent="0.25">
      <c r="A1" s="45" t="s">
        <v>315</v>
      </c>
      <c r="B1" s="45"/>
      <c r="C1" s="45"/>
      <c r="D1" s="45"/>
      <c r="E1" s="45"/>
      <c r="F1" s="45"/>
      <c r="G1" s="45"/>
      <c r="H1" s="45"/>
    </row>
    <row r="2" spans="1:9" x14ac:dyDescent="0.25">
      <c r="A2" s="4" t="s">
        <v>1</v>
      </c>
      <c r="B2" s="3" t="str">
        <f>TEXT(PeriodStart,"mmmm yyyy")</f>
        <v>September 2026</v>
      </c>
    </row>
    <row r="4" spans="1:9" ht="25.5" x14ac:dyDescent="0.25">
      <c r="A4" s="6" t="s">
        <v>143</v>
      </c>
      <c r="B4" s="6" t="s">
        <v>292</v>
      </c>
      <c r="C4" s="6" t="s">
        <v>301</v>
      </c>
      <c r="D4" s="6" t="s">
        <v>279</v>
      </c>
      <c r="E4" s="6" t="s">
        <v>282</v>
      </c>
      <c r="F4" s="6" t="s">
        <v>283</v>
      </c>
      <c r="G4" s="6" t="s">
        <v>285</v>
      </c>
      <c r="H4" s="6" t="s">
        <v>5</v>
      </c>
      <c r="I4" s="6" t="s">
        <v>6</v>
      </c>
    </row>
    <row r="5" spans="1:9" x14ac:dyDescent="0.25">
      <c r="A5" s="3" t="s">
        <v>162</v>
      </c>
      <c r="B5" s="25">
        <f>COUNTIFS(tblPayroll[Department],A5)</f>
        <v>2</v>
      </c>
      <c r="C5" s="7">
        <f>SUMIFS(tblPayroll[Monthly Basic Salary],tblPayroll[Department],A5)</f>
        <v>8300</v>
      </c>
      <c r="D5" s="7">
        <f>SUMIFS(tblPayroll[Overtime Pay],tblPayroll[Department],A5)</f>
        <v>53.846153846154067</v>
      </c>
      <c r="E5" s="7">
        <f>SUMIFS(tblPayroll[Allowances],tblPayroll[Department],A5)</f>
        <v>500</v>
      </c>
      <c r="F5" s="7">
        <f>SUMIFS(tblPayroll[Bonuses],tblPayroll[Department],A5)</f>
        <v>0</v>
      </c>
      <c r="G5" s="7">
        <f>SUMIFS(tblPayroll[Gross Earnings],tblPayroll[Department],A5)</f>
        <v>8853.8461538461543</v>
      </c>
      <c r="H5" s="7">
        <f>SUMIFS(tblPayroll[Total Deductions],tblPayroll[Department],A5)</f>
        <v>294</v>
      </c>
      <c r="I5" s="7">
        <f>SUMIFS(tblPayroll[Net Pay],tblPayroll[Department],A5)</f>
        <v>8086.7692307692314</v>
      </c>
    </row>
    <row r="6" spans="1:9" x14ac:dyDescent="0.25">
      <c r="A6" s="3" t="s">
        <v>174</v>
      </c>
      <c r="B6" s="25">
        <f>COUNTIFS(tblPayroll[Department],A6)</f>
        <v>3</v>
      </c>
      <c r="C6" s="7">
        <f>SUMIFS(tblPayroll[Monthly Basic Salary],tblPayroll[Department],A6)</f>
        <v>15600</v>
      </c>
      <c r="D6" s="7">
        <f>SUMIFS(tblPayroll[Overtime Pay],tblPayroll[Department],A6)</f>
        <v>0</v>
      </c>
      <c r="E6" s="7">
        <f>SUMIFS(tblPayroll[Allowances],tblPayroll[Department],A6)</f>
        <v>450</v>
      </c>
      <c r="F6" s="7">
        <f>SUMIFS(tblPayroll[Bonuses],tblPayroll[Department],A6)</f>
        <v>200</v>
      </c>
      <c r="G6" s="7">
        <f>SUMIFS(tblPayroll[Gross Earnings],tblPayroll[Department],A6)</f>
        <v>16650</v>
      </c>
      <c r="H6" s="7">
        <f>SUMIFS(tblPayroll[Total Deductions],tblPayroll[Department],A6)</f>
        <v>585</v>
      </c>
      <c r="I6" s="7">
        <f>SUMIFS(tblPayroll[Net Pay],tblPayroll[Department],A6)</f>
        <v>16065</v>
      </c>
    </row>
    <row r="7" spans="1:9" x14ac:dyDescent="0.25">
      <c r="A7" s="3" t="s">
        <v>182</v>
      </c>
      <c r="B7" s="25">
        <f>COUNTIFS(tblPayroll[Department],A7)</f>
        <v>2</v>
      </c>
      <c r="C7" s="7">
        <f>SUMIFS(tblPayroll[Monthly Basic Salary],tblPayroll[Department],A7)</f>
        <v>11700</v>
      </c>
      <c r="D7" s="7">
        <f>SUMIFS(tblPayroll[Overtime Pay],tblPayroll[Department],A7)</f>
        <v>109.97596153846129</v>
      </c>
      <c r="E7" s="7">
        <f>SUMIFS(tblPayroll[Allowances],tblPayroll[Department],A7)</f>
        <v>150</v>
      </c>
      <c r="F7" s="7">
        <f>SUMIFS(tblPayroll[Bonuses],tblPayroll[Department],A7)</f>
        <v>700</v>
      </c>
      <c r="G7" s="7">
        <f>SUMIFS(tblPayroll[Gross Earnings],tblPayroll[Department],A7)</f>
        <v>12759.975961538461</v>
      </c>
      <c r="H7" s="7">
        <f>SUMIFS(tblPayroll[Total Deductions],tblPayroll[Department],A7)</f>
        <v>886.09975961538464</v>
      </c>
      <c r="I7" s="7">
        <f>SUMIFS(tblPayroll[Net Pay],tblPayroll[Department],A7)</f>
        <v>11873.876201923076</v>
      </c>
    </row>
    <row r="8" spans="1:9" x14ac:dyDescent="0.25">
      <c r="A8" s="3" t="s">
        <v>189</v>
      </c>
      <c r="B8" s="25">
        <f>COUNTIFS(tblPayroll[Department],A8)</f>
        <v>2</v>
      </c>
      <c r="C8" s="7">
        <f>SUMIFS(tblPayroll[Monthly Basic Salary],tblPayroll[Department],A8)</f>
        <v>12500</v>
      </c>
      <c r="D8" s="7">
        <f>SUMIFS(tblPayroll[Overtime Pay],tblPayroll[Department],A8)</f>
        <v>0</v>
      </c>
      <c r="E8" s="7">
        <f>SUMIFS(tblPayroll[Allowances],tblPayroll[Department],A8)</f>
        <v>100</v>
      </c>
      <c r="F8" s="7">
        <f>SUMIFS(tblPayroll[Bonuses],tblPayroll[Department],A8)</f>
        <v>0</v>
      </c>
      <c r="G8" s="7">
        <f>SUMIFS(tblPayroll[Gross Earnings],tblPayroll[Department],A8)</f>
        <v>12600</v>
      </c>
      <c r="H8" s="7">
        <f>SUMIFS(tblPayroll[Total Deductions],tblPayroll[Department],A8)</f>
        <v>384</v>
      </c>
      <c r="I8" s="7">
        <f>SUMIFS(tblPayroll[Net Pay],tblPayroll[Department],A8)</f>
        <v>12216</v>
      </c>
    </row>
    <row r="9" spans="1:9" x14ac:dyDescent="0.25">
      <c r="A9" s="3" t="s">
        <v>219</v>
      </c>
      <c r="B9" s="25">
        <f>COUNTIFS(tblPayroll[Department],A9)</f>
        <v>1</v>
      </c>
      <c r="C9" s="7">
        <f>SUMIFS(tblPayroll[Monthly Basic Salary],tblPayroll[Department],A9)</f>
        <v>4500</v>
      </c>
      <c r="D9" s="7">
        <f>SUMIFS(tblPayroll[Overtime Pay],tblPayroll[Department],A9)</f>
        <v>0</v>
      </c>
      <c r="E9" s="7">
        <f>SUMIFS(tblPayroll[Allowances],tblPayroll[Department],A9)</f>
        <v>0</v>
      </c>
      <c r="F9" s="7">
        <f>SUMIFS(tblPayroll[Bonuses],tblPayroll[Department],A9)</f>
        <v>0</v>
      </c>
      <c r="G9" s="7">
        <f>SUMIFS(tblPayroll[Gross Earnings],tblPayroll[Department],A9)</f>
        <v>4500</v>
      </c>
      <c r="H9" s="7">
        <f>SUMIFS(tblPayroll[Total Deductions],tblPayroll[Department],A9)</f>
        <v>0</v>
      </c>
      <c r="I9" s="7">
        <f>SUMIFS(tblPayroll[Net Pay],tblPayroll[Department],A9)</f>
        <v>4500</v>
      </c>
    </row>
    <row r="10" spans="1:9" x14ac:dyDescent="0.25">
      <c r="A10" s="4" t="s">
        <v>316</v>
      </c>
      <c r="B10" s="28">
        <f t="shared" ref="B10:I10" si="0">SUM(B5:B9)</f>
        <v>10</v>
      </c>
      <c r="C10" s="29">
        <f t="shared" si="0"/>
        <v>52600</v>
      </c>
      <c r="D10" s="29">
        <f t="shared" si="0"/>
        <v>163.82211538461536</v>
      </c>
      <c r="E10" s="29">
        <f t="shared" si="0"/>
        <v>1200</v>
      </c>
      <c r="F10" s="29">
        <f t="shared" si="0"/>
        <v>900</v>
      </c>
      <c r="G10" s="29">
        <f t="shared" si="0"/>
        <v>55363.822115384617</v>
      </c>
      <c r="H10" s="29">
        <f t="shared" si="0"/>
        <v>2149.0997596153848</v>
      </c>
      <c r="I10" s="29">
        <f t="shared" si="0"/>
        <v>52741.645432692305</v>
      </c>
    </row>
  </sheetData>
  <mergeCells count="1">
    <mergeCell ref="A1:H1"/>
  </mergeCells>
  <pageMargins left="0.4" right="0.4" top="0.5" bottom="0.5" header="0.511811023622047" footer="0.511811023622047"/>
  <pageSetup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F3864"/>
    <pageSetUpPr fitToPage="1"/>
  </sheetPr>
  <dimension ref="A1:N27"/>
  <sheetViews>
    <sheetView showGridLines="0" zoomScaleNormal="100" workbookViewId="0">
      <pane ySplit="16" topLeftCell="A17" activePane="bottomLeft" state="frozen"/>
      <selection pane="bottomLeft" sqref="A1:N1"/>
    </sheetView>
  </sheetViews>
  <sheetFormatPr defaultColWidth="8.7109375" defaultRowHeight="15" x14ac:dyDescent="0.25"/>
  <cols>
    <col min="1" max="1" width="10" customWidth="1"/>
    <col min="2" max="2" width="22" customWidth="1"/>
    <col min="3" max="3" width="14" customWidth="1"/>
    <col min="4" max="4" width="10" customWidth="1"/>
    <col min="5" max="5" width="12" customWidth="1"/>
    <col min="6" max="6" width="16" customWidth="1"/>
    <col min="7" max="7" width="9" customWidth="1"/>
    <col min="8" max="8" width="42" customWidth="1"/>
    <col min="9" max="9" width="16" customWidth="1"/>
    <col min="10" max="10" width="18" customWidth="1"/>
    <col min="11" max="11" width="10" customWidth="1"/>
    <col min="12" max="12" width="12" customWidth="1"/>
    <col min="13" max="13" width="13" customWidth="1"/>
    <col min="14" max="14" width="15" customWidth="1"/>
  </cols>
  <sheetData>
    <row r="1" spans="1:14" ht="27.75" customHeight="1" x14ac:dyDescent="0.25">
      <c r="A1" s="45" t="s">
        <v>317</v>
      </c>
      <c r="B1" s="45"/>
      <c r="C1" s="45"/>
      <c r="D1" s="45"/>
      <c r="E1" s="45"/>
      <c r="F1" s="45"/>
      <c r="G1" s="45"/>
      <c r="H1" s="45"/>
      <c r="I1" s="45"/>
      <c r="J1" s="45"/>
      <c r="K1" s="45"/>
      <c r="L1" s="45"/>
      <c r="M1" s="45"/>
      <c r="N1" s="45"/>
    </row>
    <row r="3" spans="1:14" x14ac:dyDescent="0.25">
      <c r="A3" s="56" t="s">
        <v>318</v>
      </c>
      <c r="B3" s="56"/>
      <c r="C3" s="56"/>
      <c r="D3" s="56"/>
      <c r="E3" s="56"/>
      <c r="F3" s="56"/>
      <c r="G3" s="56"/>
      <c r="H3" s="56"/>
      <c r="I3" s="56"/>
      <c r="J3" s="56"/>
      <c r="K3" s="56"/>
      <c r="L3" s="56"/>
      <c r="M3" s="56"/>
      <c r="N3" s="56"/>
    </row>
    <row r="5" spans="1:14" x14ac:dyDescent="0.25">
      <c r="A5" s="39" t="s">
        <v>319</v>
      </c>
      <c r="B5" s="39"/>
      <c r="C5" s="39"/>
      <c r="D5" s="39"/>
      <c r="E5" s="39"/>
      <c r="F5" s="39"/>
      <c r="G5" s="39"/>
      <c r="H5" s="39"/>
    </row>
    <row r="6" spans="1:14" ht="25.5" x14ac:dyDescent="0.25">
      <c r="A6" s="6" t="s">
        <v>320</v>
      </c>
      <c r="B6" s="6" t="s">
        <v>321</v>
      </c>
      <c r="C6" s="6" t="s">
        <v>322</v>
      </c>
      <c r="D6" s="6" t="s">
        <v>323</v>
      </c>
      <c r="E6" s="6" t="s">
        <v>324</v>
      </c>
      <c r="F6" s="6" t="s">
        <v>325</v>
      </c>
      <c r="G6" s="6" t="s">
        <v>326</v>
      </c>
      <c r="H6" s="6" t="s">
        <v>327</v>
      </c>
    </row>
    <row r="7" spans="1:14" x14ac:dyDescent="0.25">
      <c r="A7" s="14" t="s">
        <v>328</v>
      </c>
      <c r="B7" s="14" t="s">
        <v>15</v>
      </c>
      <c r="C7" s="14" t="s">
        <v>323</v>
      </c>
      <c r="D7" s="33">
        <v>0.05</v>
      </c>
      <c r="E7" s="21"/>
      <c r="F7" s="14" t="s">
        <v>301</v>
      </c>
      <c r="G7" s="14" t="s">
        <v>168</v>
      </c>
      <c r="H7" s="14" t="s">
        <v>329</v>
      </c>
    </row>
    <row r="8" spans="1:14" x14ac:dyDescent="0.25">
      <c r="A8" s="14" t="s">
        <v>330</v>
      </c>
      <c r="B8" s="14" t="s">
        <v>16</v>
      </c>
      <c r="C8" s="14" t="s">
        <v>323</v>
      </c>
      <c r="D8" s="33">
        <v>0.02</v>
      </c>
      <c r="E8" s="21"/>
      <c r="F8" s="14" t="s">
        <v>301</v>
      </c>
      <c r="G8" s="14" t="s">
        <v>168</v>
      </c>
      <c r="H8" s="14" t="s">
        <v>331</v>
      </c>
    </row>
    <row r="9" spans="1:14" x14ac:dyDescent="0.25">
      <c r="A9" s="14" t="s">
        <v>332</v>
      </c>
      <c r="B9" s="14" t="s">
        <v>17</v>
      </c>
      <c r="C9" s="14" t="s">
        <v>323</v>
      </c>
      <c r="D9" s="33">
        <v>0.01</v>
      </c>
      <c r="E9" s="21"/>
      <c r="F9" s="14" t="s">
        <v>285</v>
      </c>
      <c r="G9" s="14" t="s">
        <v>168</v>
      </c>
      <c r="H9" s="14" t="s">
        <v>333</v>
      </c>
    </row>
    <row r="10" spans="1:14" x14ac:dyDescent="0.25">
      <c r="A10" s="14" t="s">
        <v>334</v>
      </c>
      <c r="B10" s="14" t="s">
        <v>18</v>
      </c>
      <c r="C10" s="14" t="s">
        <v>323</v>
      </c>
      <c r="D10" s="33">
        <v>0.03</v>
      </c>
      <c r="E10" s="21"/>
      <c r="F10" s="14" t="s">
        <v>301</v>
      </c>
      <c r="G10" s="14" t="s">
        <v>168</v>
      </c>
      <c r="H10" s="14" t="s">
        <v>335</v>
      </c>
    </row>
    <row r="11" spans="1:14" x14ac:dyDescent="0.25">
      <c r="A11" s="14" t="s">
        <v>336</v>
      </c>
      <c r="B11" s="14" t="s">
        <v>19</v>
      </c>
      <c r="C11" s="14" t="s">
        <v>324</v>
      </c>
      <c r="D11" s="33"/>
      <c r="E11" s="21">
        <v>150</v>
      </c>
      <c r="F11" s="14" t="s">
        <v>337</v>
      </c>
      <c r="G11" s="14" t="s">
        <v>168</v>
      </c>
      <c r="H11" s="14" t="s">
        <v>338</v>
      </c>
    </row>
    <row r="12" spans="1:14" x14ac:dyDescent="0.25">
      <c r="A12" s="14" t="s">
        <v>339</v>
      </c>
      <c r="B12" s="14" t="s">
        <v>20</v>
      </c>
      <c r="C12" s="14" t="s">
        <v>324</v>
      </c>
      <c r="D12" s="33"/>
      <c r="E12" s="21">
        <v>100</v>
      </c>
      <c r="F12" s="14" t="s">
        <v>337</v>
      </c>
      <c r="G12" s="14" t="s">
        <v>168</v>
      </c>
      <c r="H12" s="14" t="s">
        <v>340</v>
      </c>
    </row>
    <row r="15" spans="1:14" x14ac:dyDescent="0.25">
      <c r="A15" s="39" t="s">
        <v>341</v>
      </c>
      <c r="B15" s="39"/>
      <c r="C15" s="39"/>
      <c r="D15" s="39"/>
      <c r="E15" s="39"/>
      <c r="F15" s="39"/>
      <c r="G15" s="39"/>
      <c r="H15" s="39"/>
      <c r="I15" s="39"/>
      <c r="J15" s="39"/>
      <c r="K15" s="39"/>
      <c r="L15" s="39"/>
      <c r="M15" s="39"/>
      <c r="N15" s="39"/>
    </row>
    <row r="16" spans="1:14" ht="25.5" x14ac:dyDescent="0.25">
      <c r="A16" s="6" t="s">
        <v>139</v>
      </c>
      <c r="B16" s="6" t="s">
        <v>320</v>
      </c>
      <c r="C16" s="6" t="s">
        <v>342</v>
      </c>
      <c r="D16" s="6" t="s">
        <v>343</v>
      </c>
      <c r="E16" s="6" t="s">
        <v>344</v>
      </c>
      <c r="F16" s="6" t="s">
        <v>345</v>
      </c>
      <c r="G16" s="6" t="s">
        <v>326</v>
      </c>
      <c r="H16" s="6" t="s">
        <v>156</v>
      </c>
      <c r="I16" s="6" t="s">
        <v>346</v>
      </c>
      <c r="J16" s="6" t="s">
        <v>347</v>
      </c>
      <c r="K16" s="6" t="s">
        <v>348</v>
      </c>
      <c r="L16" s="6" t="s">
        <v>349</v>
      </c>
      <c r="M16" s="6" t="s">
        <v>350</v>
      </c>
      <c r="N16" s="6" t="s">
        <v>351</v>
      </c>
    </row>
    <row r="17" spans="1:14" x14ac:dyDescent="0.25">
      <c r="A17" s="14" t="s">
        <v>158</v>
      </c>
      <c r="B17" s="14" t="s">
        <v>328</v>
      </c>
      <c r="C17" s="18"/>
      <c r="D17" s="18"/>
      <c r="E17" s="33"/>
      <c r="F17" s="21"/>
      <c r="G17" s="14" t="s">
        <v>168</v>
      </c>
      <c r="H17" s="14" t="s">
        <v>352</v>
      </c>
      <c r="I17" s="3" t="str">
        <f>IFERROR(INDEX(tblDeductions[Deduction Type],MATCH(B17,tblDeductions[Deduction ID],0)),"")</f>
        <v>Percentage</v>
      </c>
      <c r="J17" s="3" t="str">
        <f>IFERROR(INDEX(tblDeductions[Calculation Base],MATCH(B17,tblDeductions[Deduction ID],0)),"")</f>
        <v>Basic Salary</v>
      </c>
      <c r="K17" s="34">
        <f>IF(E17&lt;&gt;"",E17,IFERROR(INDEX(tblDeductions[Percentage],MATCH(B17,tblDeductions[Deduction ID],0)),0))</f>
        <v>0.05</v>
      </c>
      <c r="L17" s="7">
        <f>IF(F17&lt;&gt;"",F17,IFERROR(INDEX(tblDeductions[Fixed Amount],MATCH(B17,tblDeductions[Deduction ID],0)),0))</f>
        <v>0</v>
      </c>
      <c r="M17" s="7">
        <f>IF(J17="Basic Salary",IFERROR(INDEX(tblEmployees[Monthly Basic Salary],MATCH(A17,tblEmployees[Employee ID],0)),0),IF(J17="Gross Earnings",IFERROR(INDEX(tblPayroll[Gross Earnings],MATCH(A17,tblPayroll[Employee ID],0)),0),IF(J17="Basic Salary + Allowances",IFERROR(INDEX(tblEmployees[Monthly Basic Salary],MATCH(A17,tblEmployees[Employee ID],0)),0)+IFERROR(INDEX(tblPayroll[Allowances],MATCH(A17,tblPayroll[Employee ID],0)),0),0)))</f>
        <v>4200</v>
      </c>
      <c r="N17" s="7">
        <f t="shared" ref="N17:N27" si="0">IF(G17&lt;&gt;"Yes",0,IF(I17="Percentage",M17*K17,L17))</f>
        <v>210</v>
      </c>
    </row>
    <row r="18" spans="1:14" x14ac:dyDescent="0.25">
      <c r="A18" s="14" t="s">
        <v>158</v>
      </c>
      <c r="B18" s="14" t="s">
        <v>330</v>
      </c>
      <c r="C18" s="18"/>
      <c r="D18" s="18"/>
      <c r="E18" s="33"/>
      <c r="F18" s="21"/>
      <c r="G18" s="14" t="s">
        <v>168</v>
      </c>
      <c r="H18" s="14" t="s">
        <v>352</v>
      </c>
      <c r="I18" s="3" t="str">
        <f>IFERROR(INDEX(tblDeductions[Deduction Type],MATCH(B18,tblDeductions[Deduction ID],0)),"")</f>
        <v>Percentage</v>
      </c>
      <c r="J18" s="3" t="str">
        <f>IFERROR(INDEX(tblDeductions[Calculation Base],MATCH(B18,tblDeductions[Deduction ID],0)),"")</f>
        <v>Basic Salary</v>
      </c>
      <c r="K18" s="34">
        <f>IF(E18&lt;&gt;"",E18,IFERROR(INDEX(tblDeductions[Percentage],MATCH(B18,tblDeductions[Deduction ID],0)),0))</f>
        <v>0.02</v>
      </c>
      <c r="L18" s="7">
        <f>IF(F18&lt;&gt;"",F18,IFERROR(INDEX(tblDeductions[Fixed Amount],MATCH(B18,tblDeductions[Deduction ID],0)),0))</f>
        <v>0</v>
      </c>
      <c r="M18" s="7">
        <f>IF(J18="Basic Salary",IFERROR(INDEX(tblEmployees[Monthly Basic Salary],MATCH(A18,tblEmployees[Employee ID],0)),0),IF(J18="Gross Earnings",IFERROR(INDEX(tblPayroll[Gross Earnings],MATCH(A18,tblPayroll[Employee ID],0)),0),IF(J18="Basic Salary + Allowances",IFERROR(INDEX(tblEmployees[Monthly Basic Salary],MATCH(A18,tblEmployees[Employee ID],0)),0)+IFERROR(INDEX(tblPayroll[Allowances],MATCH(A18,tblPayroll[Employee ID],0)),0),0)))</f>
        <v>4200</v>
      </c>
      <c r="N18" s="7">
        <f t="shared" si="0"/>
        <v>84</v>
      </c>
    </row>
    <row r="19" spans="1:14" x14ac:dyDescent="0.25">
      <c r="A19" s="14" t="s">
        <v>170</v>
      </c>
      <c r="B19" s="14" t="s">
        <v>328</v>
      </c>
      <c r="C19" s="18"/>
      <c r="D19" s="18"/>
      <c r="E19" s="33"/>
      <c r="F19" s="21"/>
      <c r="G19" s="14" t="s">
        <v>168</v>
      </c>
      <c r="H19" s="14" t="s">
        <v>352</v>
      </c>
      <c r="I19" s="3" t="str">
        <f>IFERROR(INDEX(tblDeductions[Deduction Type],MATCH(B19,tblDeductions[Deduction ID],0)),"")</f>
        <v>Percentage</v>
      </c>
      <c r="J19" s="3" t="str">
        <f>IFERROR(INDEX(tblDeductions[Calculation Base],MATCH(B19,tblDeductions[Deduction ID],0)),"")</f>
        <v>Basic Salary</v>
      </c>
      <c r="K19" s="34">
        <f>IF(E19&lt;&gt;"",E19,IFERROR(INDEX(tblDeductions[Percentage],MATCH(B19,tblDeductions[Deduction ID],0)),0))</f>
        <v>0.05</v>
      </c>
      <c r="L19" s="7">
        <f>IF(F19&lt;&gt;"",F19,IFERROR(INDEX(tblDeductions[Fixed Amount],MATCH(B19,tblDeductions[Deduction ID],0)),0))</f>
        <v>0</v>
      </c>
      <c r="M19" s="7">
        <f>IF(J19="Basic Salary",IFERROR(INDEX(tblEmployees[Monthly Basic Salary],MATCH(A19,tblEmployees[Employee ID],0)),0),IF(J19="Gross Earnings",IFERROR(INDEX(tblPayroll[Gross Earnings],MATCH(A19,tblPayroll[Employee ID],0)),0),IF(J19="Basic Salary + Allowances",IFERROR(INDEX(tblEmployees[Monthly Basic Salary],MATCH(A19,tblEmployees[Employee ID],0)),0)+IFERROR(INDEX(tblPayroll[Allowances],MATCH(A19,tblPayroll[Employee ID],0)),0),0)))</f>
        <v>5200</v>
      </c>
      <c r="N19" s="7">
        <f t="shared" si="0"/>
        <v>260</v>
      </c>
    </row>
    <row r="20" spans="1:14" x14ac:dyDescent="0.25">
      <c r="A20" s="14" t="s">
        <v>178</v>
      </c>
      <c r="B20" s="14" t="s">
        <v>328</v>
      </c>
      <c r="C20" s="18"/>
      <c r="D20" s="18"/>
      <c r="E20" s="33"/>
      <c r="F20" s="21"/>
      <c r="G20" s="14" t="s">
        <v>168</v>
      </c>
      <c r="H20" s="14" t="s">
        <v>352</v>
      </c>
      <c r="I20" s="3" t="str">
        <f>IFERROR(INDEX(tblDeductions[Deduction Type],MATCH(B20,tblDeductions[Deduction ID],0)),"")</f>
        <v>Percentage</v>
      </c>
      <c r="J20" s="3" t="str">
        <f>IFERROR(INDEX(tblDeductions[Calculation Base],MATCH(B20,tblDeductions[Deduction ID],0)),"")</f>
        <v>Basic Salary</v>
      </c>
      <c r="K20" s="34">
        <f>IF(E20&lt;&gt;"",E20,IFERROR(INDEX(tblDeductions[Percentage],MATCH(B20,tblDeductions[Deduction ID],0)),0))</f>
        <v>0.05</v>
      </c>
      <c r="L20" s="7">
        <f>IF(F20&lt;&gt;"",F20,IFERROR(INDEX(tblDeductions[Fixed Amount],MATCH(B20,tblDeductions[Deduction ID],0)),0))</f>
        <v>0</v>
      </c>
      <c r="M20" s="7">
        <f>IF(J20="Basic Salary",IFERROR(INDEX(tblEmployees[Monthly Basic Salary],MATCH(A20,tblEmployees[Employee ID],0)),0),IF(J20="Gross Earnings",IFERROR(INDEX(tblPayroll[Gross Earnings],MATCH(A20,tblPayroll[Employee ID],0)),0),IF(J20="Basic Salary + Allowances",IFERROR(INDEX(tblEmployees[Monthly Basic Salary],MATCH(A20,tblEmployees[Employee ID],0)),0)+IFERROR(INDEX(tblPayroll[Allowances],MATCH(A20,tblPayroll[Employee ID],0)),0),0)))</f>
        <v>5600</v>
      </c>
      <c r="N20" s="7">
        <f t="shared" si="0"/>
        <v>280</v>
      </c>
    </row>
    <row r="21" spans="1:14" x14ac:dyDescent="0.25">
      <c r="A21" s="14" t="s">
        <v>178</v>
      </c>
      <c r="B21" s="14" t="s">
        <v>330</v>
      </c>
      <c r="C21" s="18"/>
      <c r="D21" s="18"/>
      <c r="E21" s="33"/>
      <c r="F21" s="21"/>
      <c r="G21" s="14" t="s">
        <v>168</v>
      </c>
      <c r="H21" s="14" t="s">
        <v>352</v>
      </c>
      <c r="I21" s="3" t="str">
        <f>IFERROR(INDEX(tblDeductions[Deduction Type],MATCH(B21,tblDeductions[Deduction ID],0)),"")</f>
        <v>Percentage</v>
      </c>
      <c r="J21" s="3" t="str">
        <f>IFERROR(INDEX(tblDeductions[Calculation Base],MATCH(B21,tblDeductions[Deduction ID],0)),"")</f>
        <v>Basic Salary</v>
      </c>
      <c r="K21" s="34">
        <f>IF(E21&lt;&gt;"",E21,IFERROR(INDEX(tblDeductions[Percentage],MATCH(B21,tblDeductions[Deduction ID],0)),0))</f>
        <v>0.02</v>
      </c>
      <c r="L21" s="7">
        <f>IF(F21&lt;&gt;"",F21,IFERROR(INDEX(tblDeductions[Fixed Amount],MATCH(B21,tblDeductions[Deduction ID],0)),0))</f>
        <v>0</v>
      </c>
      <c r="M21" s="7">
        <f>IF(J21="Basic Salary",IFERROR(INDEX(tblEmployees[Monthly Basic Salary],MATCH(A21,tblEmployees[Employee ID],0)),0),IF(J21="Gross Earnings",IFERROR(INDEX(tblPayroll[Gross Earnings],MATCH(A21,tblPayroll[Employee ID],0)),0),IF(J21="Basic Salary + Allowances",IFERROR(INDEX(tblEmployees[Monthly Basic Salary],MATCH(A21,tblEmployees[Employee ID],0)),0)+IFERROR(INDEX(tblPayroll[Allowances],MATCH(A21,tblPayroll[Employee ID],0)),0),0)))</f>
        <v>5600</v>
      </c>
      <c r="N21" s="7">
        <f t="shared" si="0"/>
        <v>112</v>
      </c>
    </row>
    <row r="22" spans="1:14" x14ac:dyDescent="0.25">
      <c r="A22" s="14" t="s">
        <v>185</v>
      </c>
      <c r="B22" s="14" t="s">
        <v>334</v>
      </c>
      <c r="C22" s="18"/>
      <c r="D22" s="18"/>
      <c r="E22" s="33"/>
      <c r="F22" s="21"/>
      <c r="G22" s="14" t="s">
        <v>168</v>
      </c>
      <c r="H22" s="14" t="s">
        <v>352</v>
      </c>
      <c r="I22" s="3" t="str">
        <f>IFERROR(INDEX(tblDeductions[Deduction Type],MATCH(B22,tblDeductions[Deduction ID],0)),"")</f>
        <v>Percentage</v>
      </c>
      <c r="J22" s="3" t="str">
        <f>IFERROR(INDEX(tblDeductions[Calculation Base],MATCH(B22,tblDeductions[Deduction ID],0)),"")</f>
        <v>Basic Salary</v>
      </c>
      <c r="K22" s="34">
        <f>IF(E22&lt;&gt;"",E22,IFERROR(INDEX(tblDeductions[Percentage],MATCH(B22,tblDeductions[Deduction ID],0)),0))</f>
        <v>0.03</v>
      </c>
      <c r="L22" s="7">
        <f>IF(F22&lt;&gt;"",F22,IFERROR(INDEX(tblDeductions[Fixed Amount],MATCH(B22,tblDeductions[Deduction ID],0)),0))</f>
        <v>0</v>
      </c>
      <c r="M22" s="7">
        <f>IF(J22="Basic Salary",IFERROR(INDEX(tblEmployees[Monthly Basic Salary],MATCH(A22,tblEmployees[Employee ID],0)),0),IF(J22="Gross Earnings",IFERROR(INDEX(tblPayroll[Gross Earnings],MATCH(A22,tblPayroll[Employee ID],0)),0),IF(J22="Basic Salary + Allowances",IFERROR(INDEX(tblEmployees[Monthly Basic Salary],MATCH(A22,tblEmployees[Employee ID],0)),0)+IFERROR(INDEX(tblPayroll[Allowances],MATCH(A22,tblPayroll[Employee ID],0)),0),0)))</f>
        <v>7800</v>
      </c>
      <c r="N22" s="7">
        <f t="shared" si="0"/>
        <v>234</v>
      </c>
    </row>
    <row r="23" spans="1:14" x14ac:dyDescent="0.25">
      <c r="A23" s="14" t="s">
        <v>205</v>
      </c>
      <c r="B23" s="14" t="s">
        <v>328</v>
      </c>
      <c r="C23" s="18"/>
      <c r="D23" s="18"/>
      <c r="E23" s="33"/>
      <c r="F23" s="21"/>
      <c r="G23" s="14" t="s">
        <v>168</v>
      </c>
      <c r="H23" s="14" t="s">
        <v>352</v>
      </c>
      <c r="I23" s="3" t="str">
        <f>IFERROR(INDEX(tblDeductions[Deduction Type],MATCH(B23,tblDeductions[Deduction ID],0)),"")</f>
        <v>Percentage</v>
      </c>
      <c r="J23" s="3" t="str">
        <f>IFERROR(INDEX(tblDeductions[Calculation Base],MATCH(B23,tblDeductions[Deduction ID],0)),"")</f>
        <v>Basic Salary</v>
      </c>
      <c r="K23" s="34">
        <f>IF(E23&lt;&gt;"",E23,IFERROR(INDEX(tblDeductions[Percentage],MATCH(B23,tblDeductions[Deduction ID],0)),0))</f>
        <v>0.05</v>
      </c>
      <c r="L23" s="7">
        <f>IF(F23&lt;&gt;"",F23,IFERROR(INDEX(tblDeductions[Fixed Amount],MATCH(B23,tblDeductions[Deduction ID],0)),0))</f>
        <v>0</v>
      </c>
      <c r="M23" s="7">
        <f>IF(J23="Basic Salary",IFERROR(INDEX(tblEmployees[Monthly Basic Salary],MATCH(A23,tblEmployees[Employee ID],0)),0),IF(J23="Gross Earnings",IFERROR(INDEX(tblPayroll[Gross Earnings],MATCH(A23,tblPayroll[Employee ID],0)),0),IF(J23="Basic Salary + Allowances",IFERROR(INDEX(tblEmployees[Monthly Basic Salary],MATCH(A23,tblEmployees[Employee ID],0)),0)+IFERROR(INDEX(tblPayroll[Allowances],MATCH(A23,tblPayroll[Employee ID],0)),0),0)))</f>
        <v>6500</v>
      </c>
      <c r="N23" s="7">
        <f t="shared" si="0"/>
        <v>325</v>
      </c>
    </row>
    <row r="24" spans="1:14" x14ac:dyDescent="0.25">
      <c r="A24" s="14" t="s">
        <v>209</v>
      </c>
      <c r="B24" s="14" t="s">
        <v>336</v>
      </c>
      <c r="C24" s="18"/>
      <c r="D24" s="18"/>
      <c r="E24" s="33"/>
      <c r="F24" s="21">
        <v>150</v>
      </c>
      <c r="G24" s="14" t="s">
        <v>168</v>
      </c>
      <c r="H24" s="14" t="s">
        <v>353</v>
      </c>
      <c r="I24" s="3" t="str">
        <f>IFERROR(INDEX(tblDeductions[Deduction Type],MATCH(B24,tblDeductions[Deduction ID],0)),"")</f>
        <v>Fixed Amount</v>
      </c>
      <c r="J24" s="3" t="str">
        <f>IFERROR(INDEX(tblDeductions[Calculation Base],MATCH(B24,tblDeductions[Deduction ID],0)),"")</f>
        <v>N/A</v>
      </c>
      <c r="K24" s="34">
        <f>IF(E24&lt;&gt;"",E24,IFERROR(INDEX(tblDeductions[Percentage],MATCH(B24,tblDeductions[Deduction ID],0)),0))</f>
        <v>0</v>
      </c>
      <c r="L24" s="7">
        <f>IF(F24&lt;&gt;"",F24,IFERROR(INDEX(tblDeductions[Fixed Amount],MATCH(B24,tblDeductions[Deduction ID],0)),0))</f>
        <v>150</v>
      </c>
      <c r="M24" s="7">
        <f>IF(J24="Basic Salary",IFERROR(INDEX(tblEmployees[Monthly Basic Salary],MATCH(A24,tblEmployees[Employee ID],0)),0),IF(J24="Gross Earnings",IFERROR(INDEX(tblPayroll[Gross Earnings],MATCH(A24,tblPayroll[Employee ID],0)),0),IF(J24="Basic Salary + Allowances",IFERROR(INDEX(tblEmployees[Monthly Basic Salary],MATCH(A24,tblEmployees[Employee ID],0)),0)+IFERROR(INDEX(tblPayroll[Allowances],MATCH(A24,tblPayroll[Employee ID],0)),0),0)))</f>
        <v>0</v>
      </c>
      <c r="N24" s="7">
        <f t="shared" si="0"/>
        <v>150</v>
      </c>
    </row>
    <row r="25" spans="1:14" x14ac:dyDescent="0.25">
      <c r="A25" s="14" t="s">
        <v>221</v>
      </c>
      <c r="B25" s="14" t="s">
        <v>328</v>
      </c>
      <c r="C25" s="18"/>
      <c r="D25" s="18"/>
      <c r="E25" s="33">
        <v>0.04</v>
      </c>
      <c r="F25" s="21"/>
      <c r="G25" s="14" t="s">
        <v>168</v>
      </c>
      <c r="H25" s="14" t="s">
        <v>354</v>
      </c>
      <c r="I25" s="3" t="str">
        <f>IFERROR(INDEX(tblDeductions[Deduction Type],MATCH(B25,tblDeductions[Deduction ID],0)),"")</f>
        <v>Percentage</v>
      </c>
      <c r="J25" s="3" t="str">
        <f>IFERROR(INDEX(tblDeductions[Calculation Base],MATCH(B25,tblDeductions[Deduction ID],0)),"")</f>
        <v>Basic Salary</v>
      </c>
      <c r="K25" s="34">
        <f>IF(E25&lt;&gt;"",E25,IFERROR(INDEX(tblDeductions[Percentage],MATCH(B25,tblDeductions[Deduction ID],0)),0))</f>
        <v>0.04</v>
      </c>
      <c r="L25" s="7">
        <f>IF(F25&lt;&gt;"",F25,IFERROR(INDEX(tblDeductions[Fixed Amount],MATCH(B25,tblDeductions[Deduction ID],0)),0))</f>
        <v>0</v>
      </c>
      <c r="M25" s="7">
        <f>IF(J25="Basic Salary",IFERROR(INDEX(tblEmployees[Monthly Basic Salary],MATCH(A25,tblEmployees[Employee ID],0)),0),IF(J25="Gross Earnings",IFERROR(INDEX(tblPayroll[Gross Earnings],MATCH(A25,tblPayroll[Employee ID],0)),0),IF(J25="Basic Salary + Allowances",IFERROR(INDEX(tblEmployees[Monthly Basic Salary],MATCH(A25,tblEmployees[Employee ID],0)),0)+IFERROR(INDEX(tblPayroll[Allowances],MATCH(A25,tblPayroll[Employee ID],0)),0),0)))</f>
        <v>6100</v>
      </c>
      <c r="N25" s="7">
        <f t="shared" si="0"/>
        <v>244</v>
      </c>
    </row>
    <row r="26" spans="1:14" x14ac:dyDescent="0.25">
      <c r="A26" s="14" t="s">
        <v>221</v>
      </c>
      <c r="B26" s="14" t="s">
        <v>334</v>
      </c>
      <c r="C26" s="18"/>
      <c r="D26" s="18"/>
      <c r="E26" s="33"/>
      <c r="F26" s="21"/>
      <c r="G26" s="14" t="s">
        <v>168</v>
      </c>
      <c r="H26" s="14" t="s">
        <v>355</v>
      </c>
      <c r="I26" s="3" t="str">
        <f>IFERROR(INDEX(tblDeductions[Deduction Type],MATCH(B26,tblDeductions[Deduction ID],0)),"")</f>
        <v>Percentage</v>
      </c>
      <c r="J26" s="3" t="str">
        <f>IFERROR(INDEX(tblDeductions[Calculation Base],MATCH(B26,tblDeductions[Deduction ID],0)),"")</f>
        <v>Basic Salary</v>
      </c>
      <c r="K26" s="34">
        <f>IF(E26&lt;&gt;"",E26,IFERROR(INDEX(tblDeductions[Percentage],MATCH(B26,tblDeductions[Deduction ID],0)),0))</f>
        <v>0.03</v>
      </c>
      <c r="L26" s="7">
        <f>IF(F26&lt;&gt;"",F26,IFERROR(INDEX(tblDeductions[Fixed Amount],MATCH(B26,tblDeductions[Deduction ID],0)),0))</f>
        <v>0</v>
      </c>
      <c r="M26" s="7">
        <f>IF(J26="Basic Salary",IFERROR(INDEX(tblEmployees[Monthly Basic Salary],MATCH(A26,tblEmployees[Employee ID],0)),0),IF(J26="Gross Earnings",IFERROR(INDEX(tblPayroll[Gross Earnings],MATCH(A26,tblPayroll[Employee ID],0)),0),IF(J26="Basic Salary + Allowances",IFERROR(INDEX(tblEmployees[Monthly Basic Salary],MATCH(A26,tblEmployees[Employee ID],0)),0)+IFERROR(INDEX(tblPayroll[Allowances],MATCH(A26,tblPayroll[Employee ID],0)),0),0)))</f>
        <v>6100</v>
      </c>
      <c r="N26" s="7">
        <f t="shared" si="0"/>
        <v>183</v>
      </c>
    </row>
    <row r="27" spans="1:14" x14ac:dyDescent="0.25">
      <c r="A27" s="14" t="s">
        <v>221</v>
      </c>
      <c r="B27" s="14" t="s">
        <v>332</v>
      </c>
      <c r="C27" s="18"/>
      <c r="D27" s="18"/>
      <c r="E27" s="33"/>
      <c r="F27" s="21"/>
      <c r="G27" s="14" t="s">
        <v>168</v>
      </c>
      <c r="H27" s="14" t="s">
        <v>355</v>
      </c>
      <c r="I27" s="3" t="str">
        <f>IFERROR(INDEX(tblDeductions[Deduction Type],MATCH(B27,tblDeductions[Deduction ID],0)),"")</f>
        <v>Percentage</v>
      </c>
      <c r="J27" s="3" t="str">
        <f>IFERROR(INDEX(tblDeductions[Calculation Base],MATCH(B27,tblDeductions[Deduction ID],0)),"")</f>
        <v>Gross Earnings</v>
      </c>
      <c r="K27" s="34">
        <f>IF(E27&lt;&gt;"",E27,IFERROR(INDEX(tblDeductions[Percentage],MATCH(B27,tblDeductions[Deduction ID],0)),0))</f>
        <v>0.01</v>
      </c>
      <c r="L27" s="7">
        <f>IF(F27&lt;&gt;"",F27,IFERROR(INDEX(tblDeductions[Fixed Amount],MATCH(B27,tblDeductions[Deduction ID],0)),0))</f>
        <v>0</v>
      </c>
      <c r="M27" s="7">
        <f>IF(J27="Basic Salary",IFERROR(INDEX(tblEmployees[Monthly Basic Salary],MATCH(A27,tblEmployees[Employee ID],0)),0),IF(J27="Gross Earnings",IFERROR(INDEX(tblPayroll[Gross Earnings],MATCH(A27,tblPayroll[Employee ID],0)),0),IF(J27="Basic Salary + Allowances",IFERROR(INDEX(tblEmployees[Monthly Basic Salary],MATCH(A27,tblEmployees[Employee ID],0)),0)+IFERROR(INDEX(tblPayroll[Allowances],MATCH(A27,tblPayroll[Employee ID],0)),0),0)))</f>
        <v>6709.975961538461</v>
      </c>
      <c r="N27" s="7">
        <f t="shared" si="0"/>
        <v>67.099759615384613</v>
      </c>
    </row>
  </sheetData>
  <mergeCells count="4">
    <mergeCell ref="A1:N1"/>
    <mergeCell ref="A3:N3"/>
    <mergeCell ref="A5:H5"/>
    <mergeCell ref="A15:N15"/>
  </mergeCells>
  <pageMargins left="0.4" right="0.4" top="0.5" bottom="0.5" header="0.511811023622047" footer="0.511811023622047"/>
  <pageSetup fitToHeight="0" orientation="landscape" horizontalDpi="300" verticalDpi="300"/>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F3864"/>
    <pageSetUpPr fitToPage="1"/>
  </sheetPr>
  <dimension ref="A1:I12"/>
  <sheetViews>
    <sheetView showGridLines="0" zoomScaleNormal="100" workbookViewId="0">
      <pane ySplit="3" topLeftCell="A4" activePane="bottomLeft" state="frozen"/>
      <selection pane="bottomLeft" sqref="A1:I1"/>
    </sheetView>
  </sheetViews>
  <sheetFormatPr defaultColWidth="8.7109375" defaultRowHeight="15" x14ac:dyDescent="0.25"/>
  <cols>
    <col min="1" max="1" width="11" customWidth="1"/>
    <col min="2" max="3" width="12" customWidth="1"/>
    <col min="4" max="4" width="22" customWidth="1"/>
    <col min="5" max="5" width="28" customWidth="1"/>
    <col min="6" max="6" width="11" customWidth="1"/>
    <col min="7" max="8" width="10" customWidth="1"/>
    <col min="9" max="9" width="30" customWidth="1"/>
  </cols>
  <sheetData>
    <row r="1" spans="1:9" ht="27.75" customHeight="1" x14ac:dyDescent="0.25">
      <c r="A1" s="45" t="s">
        <v>356</v>
      </c>
      <c r="B1" s="45"/>
      <c r="C1" s="45"/>
      <c r="D1" s="45"/>
      <c r="E1" s="45"/>
      <c r="F1" s="45"/>
      <c r="G1" s="45"/>
      <c r="H1" s="45"/>
      <c r="I1" s="45"/>
    </row>
    <row r="3" spans="1:9" x14ac:dyDescent="0.25">
      <c r="A3" s="6" t="s">
        <v>139</v>
      </c>
      <c r="B3" s="6" t="s">
        <v>298</v>
      </c>
      <c r="C3" s="6" t="s">
        <v>357</v>
      </c>
      <c r="D3" s="6" t="s">
        <v>358</v>
      </c>
      <c r="E3" s="6" t="s">
        <v>327</v>
      </c>
      <c r="F3" s="6" t="s">
        <v>300</v>
      </c>
      <c r="G3" s="6" t="s">
        <v>359</v>
      </c>
      <c r="H3" s="6" t="s">
        <v>360</v>
      </c>
      <c r="I3" s="6" t="s">
        <v>156</v>
      </c>
    </row>
    <row r="4" spans="1:9" x14ac:dyDescent="0.25">
      <c r="A4" s="14" t="s">
        <v>158</v>
      </c>
      <c r="B4" s="35">
        <v>46266</v>
      </c>
      <c r="C4" s="14" t="s">
        <v>361</v>
      </c>
      <c r="D4" s="14" t="s">
        <v>362</v>
      </c>
      <c r="E4" s="14" t="s">
        <v>363</v>
      </c>
      <c r="F4" s="21">
        <v>500</v>
      </c>
      <c r="G4" s="14" t="s">
        <v>184</v>
      </c>
      <c r="H4" s="14" t="s">
        <v>168</v>
      </c>
      <c r="I4" s="14" t="s">
        <v>247</v>
      </c>
    </row>
    <row r="5" spans="1:9" x14ac:dyDescent="0.25">
      <c r="A5" s="14" t="s">
        <v>170</v>
      </c>
      <c r="B5" s="35">
        <v>46266</v>
      </c>
      <c r="C5" s="14" t="s">
        <v>361</v>
      </c>
      <c r="D5" s="14" t="s">
        <v>364</v>
      </c>
      <c r="E5" s="14" t="s">
        <v>365</v>
      </c>
      <c r="F5" s="21">
        <v>200</v>
      </c>
      <c r="G5" s="14" t="s">
        <v>184</v>
      </c>
      <c r="H5" s="14" t="s">
        <v>168</v>
      </c>
      <c r="I5" s="14" t="s">
        <v>247</v>
      </c>
    </row>
    <row r="6" spans="1:9" x14ac:dyDescent="0.25">
      <c r="A6" s="14" t="s">
        <v>178</v>
      </c>
      <c r="B6" s="35">
        <v>46266</v>
      </c>
      <c r="C6" s="14" t="s">
        <v>361</v>
      </c>
      <c r="D6" s="14" t="s">
        <v>366</v>
      </c>
      <c r="E6" s="14" t="s">
        <v>367</v>
      </c>
      <c r="F6" s="21">
        <v>150</v>
      </c>
      <c r="G6" s="14" t="s">
        <v>184</v>
      </c>
      <c r="H6" s="14" t="s">
        <v>168</v>
      </c>
      <c r="I6" s="14" t="s">
        <v>247</v>
      </c>
    </row>
    <row r="7" spans="1:9" x14ac:dyDescent="0.25">
      <c r="A7" s="14" t="s">
        <v>178</v>
      </c>
      <c r="B7" s="35">
        <v>46266</v>
      </c>
      <c r="C7" s="14" t="s">
        <v>368</v>
      </c>
      <c r="D7" s="14" t="s">
        <v>369</v>
      </c>
      <c r="E7" s="14" t="s">
        <v>370</v>
      </c>
      <c r="F7" s="21">
        <v>300</v>
      </c>
      <c r="G7" s="14" t="s">
        <v>168</v>
      </c>
      <c r="H7" s="14" t="s">
        <v>168</v>
      </c>
      <c r="I7" s="14" t="s">
        <v>247</v>
      </c>
    </row>
    <row r="8" spans="1:9" x14ac:dyDescent="0.25">
      <c r="A8" s="14" t="s">
        <v>185</v>
      </c>
      <c r="B8" s="35">
        <v>46266</v>
      </c>
      <c r="C8" s="14" t="s">
        <v>361</v>
      </c>
      <c r="D8" s="14" t="s">
        <v>371</v>
      </c>
      <c r="E8" s="14" t="s">
        <v>372</v>
      </c>
      <c r="F8" s="21">
        <v>100</v>
      </c>
      <c r="G8" s="14" t="s">
        <v>184</v>
      </c>
      <c r="H8" s="14" t="s">
        <v>168</v>
      </c>
      <c r="I8" s="14" t="s">
        <v>247</v>
      </c>
    </row>
    <row r="9" spans="1:9" x14ac:dyDescent="0.25">
      <c r="A9" s="14" t="s">
        <v>198</v>
      </c>
      <c r="B9" s="35">
        <v>46266</v>
      </c>
      <c r="C9" s="14" t="s">
        <v>361</v>
      </c>
      <c r="D9" s="14" t="s">
        <v>373</v>
      </c>
      <c r="E9" s="14" t="s">
        <v>374</v>
      </c>
      <c r="F9" s="21">
        <v>250</v>
      </c>
      <c r="G9" s="14" t="s">
        <v>184</v>
      </c>
      <c r="H9" s="14" t="s">
        <v>168</v>
      </c>
      <c r="I9" s="14" t="s">
        <v>247</v>
      </c>
    </row>
    <row r="10" spans="1:9" x14ac:dyDescent="0.25">
      <c r="A10" s="14" t="s">
        <v>205</v>
      </c>
      <c r="B10" s="35">
        <v>46266</v>
      </c>
      <c r="C10" s="14" t="s">
        <v>368</v>
      </c>
      <c r="D10" s="14" t="s">
        <v>375</v>
      </c>
      <c r="E10" s="14" t="s">
        <v>376</v>
      </c>
      <c r="F10" s="21">
        <v>200</v>
      </c>
      <c r="G10" s="14" t="s">
        <v>168</v>
      </c>
      <c r="H10" s="14" t="s">
        <v>168</v>
      </c>
      <c r="I10" s="14" t="s">
        <v>247</v>
      </c>
    </row>
    <row r="11" spans="1:9" x14ac:dyDescent="0.25">
      <c r="A11" s="14" t="s">
        <v>221</v>
      </c>
      <c r="B11" s="35">
        <v>46266</v>
      </c>
      <c r="C11" s="14" t="s">
        <v>368</v>
      </c>
      <c r="D11" s="14" t="s">
        <v>369</v>
      </c>
      <c r="E11" s="14" t="s">
        <v>370</v>
      </c>
      <c r="F11" s="21">
        <v>400</v>
      </c>
      <c r="G11" s="14" t="s">
        <v>168</v>
      </c>
      <c r="H11" s="14" t="s">
        <v>168</v>
      </c>
      <c r="I11" s="14" t="s">
        <v>247</v>
      </c>
    </row>
    <row r="12" spans="1:9" x14ac:dyDescent="0.25">
      <c r="A12" s="14" t="s">
        <v>221</v>
      </c>
      <c r="B12" s="35">
        <v>46266</v>
      </c>
      <c r="C12" s="14" t="s">
        <v>377</v>
      </c>
      <c r="D12" s="14" t="s">
        <v>378</v>
      </c>
      <c r="E12" s="14" t="s">
        <v>379</v>
      </c>
      <c r="F12" s="21">
        <v>100</v>
      </c>
      <c r="G12" s="14" t="s">
        <v>168</v>
      </c>
      <c r="H12" s="14" t="s">
        <v>168</v>
      </c>
      <c r="I12" s="14" t="s">
        <v>247</v>
      </c>
    </row>
  </sheetData>
  <mergeCells count="1">
    <mergeCell ref="A1:I1"/>
  </mergeCells>
  <pageMargins left="0.4" right="0.4" top="0.5" bottom="0.5" header="0.511811023622047" footer="0.511811023622047"/>
  <pageSetup fitToHeight="0" orientation="landscape"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1F3864"/>
  </sheetPr>
  <dimension ref="A1:E5"/>
  <sheetViews>
    <sheetView showGridLines="0" zoomScaleNormal="100" workbookViewId="0">
      <pane ySplit="3" topLeftCell="A4" activePane="bottomLeft" state="frozen"/>
      <selection pane="bottomLeft" sqref="A1:E1"/>
    </sheetView>
  </sheetViews>
  <sheetFormatPr defaultColWidth="8.7109375" defaultRowHeight="15" x14ac:dyDescent="0.25"/>
  <cols>
    <col min="1" max="1" width="16" customWidth="1"/>
    <col min="2" max="2" width="22" customWidth="1"/>
    <col min="3" max="3" width="18" customWidth="1"/>
    <col min="4" max="4" width="10" customWidth="1"/>
    <col min="5" max="5" width="40" customWidth="1"/>
  </cols>
  <sheetData>
    <row r="1" spans="1:5" ht="27.75" customHeight="1" x14ac:dyDescent="0.25">
      <c r="A1" s="45" t="s">
        <v>380</v>
      </c>
      <c r="B1" s="45"/>
      <c r="C1" s="45"/>
      <c r="D1" s="45"/>
      <c r="E1" s="45"/>
    </row>
    <row r="3" spans="1:5" x14ac:dyDescent="0.25">
      <c r="A3" s="6" t="s">
        <v>381</v>
      </c>
      <c r="B3" s="6" t="s">
        <v>382</v>
      </c>
      <c r="C3" s="6" t="s">
        <v>383</v>
      </c>
      <c r="D3" s="6" t="s">
        <v>384</v>
      </c>
      <c r="E3" s="6" t="s">
        <v>156</v>
      </c>
    </row>
    <row r="4" spans="1:5" x14ac:dyDescent="0.25">
      <c r="A4" s="18">
        <v>46272</v>
      </c>
      <c r="B4" s="14" t="s">
        <v>385</v>
      </c>
      <c r="C4" s="14" t="s">
        <v>386</v>
      </c>
      <c r="D4" s="14" t="s">
        <v>168</v>
      </c>
      <c r="E4" s="14" t="s">
        <v>387</v>
      </c>
    </row>
    <row r="5" spans="1:5" x14ac:dyDescent="0.25">
      <c r="A5" s="18">
        <v>46286</v>
      </c>
      <c r="B5" s="14" t="s">
        <v>388</v>
      </c>
      <c r="C5" s="14" t="s">
        <v>389</v>
      </c>
      <c r="D5" s="14" t="s">
        <v>168</v>
      </c>
      <c r="E5" s="14" t="s">
        <v>387</v>
      </c>
    </row>
  </sheetData>
  <mergeCells count="1">
    <mergeCell ref="A1:E1"/>
  </mergeCells>
  <pageMargins left="0.75" right="0.75" top="1" bottom="1"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2">
        <x14:dataValidation type="list" allowBlank="1" xr:uid="{00000000-0002-0000-0D00-000000000000}">
          <x14:formula1>
            <xm:f>Lists!$L$4:$L$5</xm:f>
          </x14:formula1>
          <x14:formula2>
            <xm:f>0</xm:f>
          </x14:formula2>
          <xm:sqref>C4:C55</xm:sqref>
        </x14:dataValidation>
        <x14:dataValidation type="list" allowBlank="1" xr:uid="{00000000-0002-0000-0D00-000001000000}">
          <x14:formula1>
            <xm:f>Lists!$J$4:$J$5</xm:f>
          </x14:formula1>
          <x14:formula2>
            <xm:f>0</xm:f>
          </x14:formula2>
          <xm:sqref>D4:D55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1F3864"/>
  </sheetPr>
  <dimension ref="A1:L8"/>
  <sheetViews>
    <sheetView showGridLines="0" zoomScaleNormal="100" workbookViewId="0">
      <pane ySplit="3" topLeftCell="A4" activePane="bottomLeft" state="frozen"/>
      <selection pane="bottomLeft" sqref="A1:J1"/>
    </sheetView>
  </sheetViews>
  <sheetFormatPr defaultColWidth="8.7109375" defaultRowHeight="15" x14ac:dyDescent="0.25"/>
  <cols>
    <col min="1" max="10" width="18" customWidth="1"/>
    <col min="11" max="11" width="20" customWidth="1"/>
    <col min="12" max="12" width="16" customWidth="1"/>
  </cols>
  <sheetData>
    <row r="1" spans="1:12" ht="27.75" customHeight="1" x14ac:dyDescent="0.25">
      <c r="A1" s="45" t="s">
        <v>390</v>
      </c>
      <c r="B1" s="45"/>
      <c r="C1" s="45"/>
      <c r="D1" s="45"/>
      <c r="E1" s="45"/>
      <c r="F1" s="45"/>
      <c r="G1" s="45"/>
      <c r="H1" s="45"/>
      <c r="I1" s="45"/>
      <c r="J1" s="45"/>
    </row>
    <row r="3" spans="1:12" x14ac:dyDescent="0.25">
      <c r="A3" s="36" t="s">
        <v>143</v>
      </c>
      <c r="B3" s="36" t="s">
        <v>145</v>
      </c>
      <c r="C3" s="36" t="s">
        <v>147</v>
      </c>
      <c r="D3" s="36" t="s">
        <v>148</v>
      </c>
      <c r="E3" s="36" t="s">
        <v>229</v>
      </c>
      <c r="F3" s="36" t="s">
        <v>259</v>
      </c>
      <c r="G3" s="36" t="s">
        <v>322</v>
      </c>
      <c r="H3" s="36" t="s">
        <v>245</v>
      </c>
      <c r="I3" s="36" t="s">
        <v>391</v>
      </c>
      <c r="J3" s="36" t="s">
        <v>392</v>
      </c>
      <c r="K3" s="36" t="s">
        <v>393</v>
      </c>
      <c r="L3" s="36" t="s">
        <v>383</v>
      </c>
    </row>
    <row r="4" spans="1:12" x14ac:dyDescent="0.25">
      <c r="A4" t="s">
        <v>162</v>
      </c>
      <c r="B4" t="s">
        <v>164</v>
      </c>
      <c r="C4" t="s">
        <v>166</v>
      </c>
      <c r="D4" t="s">
        <v>167</v>
      </c>
      <c r="E4" t="s">
        <v>169</v>
      </c>
      <c r="F4" t="s">
        <v>269</v>
      </c>
      <c r="G4" t="s">
        <v>323</v>
      </c>
      <c r="H4" t="s">
        <v>253</v>
      </c>
      <c r="I4" t="s">
        <v>253</v>
      </c>
      <c r="J4" t="s">
        <v>168</v>
      </c>
      <c r="K4" t="s">
        <v>361</v>
      </c>
      <c r="L4" t="s">
        <v>386</v>
      </c>
    </row>
    <row r="5" spans="1:12" x14ac:dyDescent="0.25">
      <c r="A5" t="s">
        <v>174</v>
      </c>
      <c r="B5" t="s">
        <v>176</v>
      </c>
      <c r="C5" t="s">
        <v>394</v>
      </c>
      <c r="D5" t="s">
        <v>395</v>
      </c>
      <c r="E5" t="s">
        <v>203</v>
      </c>
      <c r="F5" t="s">
        <v>272</v>
      </c>
      <c r="G5" t="s">
        <v>324</v>
      </c>
      <c r="H5" t="s">
        <v>246</v>
      </c>
      <c r="I5" t="s">
        <v>270</v>
      </c>
      <c r="J5" t="s">
        <v>184</v>
      </c>
      <c r="K5" t="s">
        <v>368</v>
      </c>
      <c r="L5" t="s">
        <v>389</v>
      </c>
    </row>
    <row r="6" spans="1:12" x14ac:dyDescent="0.25">
      <c r="A6" t="s">
        <v>182</v>
      </c>
      <c r="B6" t="s">
        <v>191</v>
      </c>
      <c r="C6" t="s">
        <v>396</v>
      </c>
      <c r="D6" t="s">
        <v>397</v>
      </c>
      <c r="E6" t="s">
        <v>398</v>
      </c>
      <c r="F6" t="s">
        <v>266</v>
      </c>
      <c r="H6" t="s">
        <v>399</v>
      </c>
      <c r="I6" t="s">
        <v>400</v>
      </c>
      <c r="K6" t="s">
        <v>377</v>
      </c>
    </row>
    <row r="7" spans="1:12" x14ac:dyDescent="0.25">
      <c r="A7" t="s">
        <v>189</v>
      </c>
      <c r="F7" t="s">
        <v>274</v>
      </c>
    </row>
    <row r="8" spans="1:12" x14ac:dyDescent="0.25">
      <c r="A8" t="s">
        <v>219</v>
      </c>
      <c r="F8" t="s">
        <v>377</v>
      </c>
    </row>
  </sheetData>
  <mergeCells count="1">
    <mergeCell ref="A1:J1"/>
  </mergeCells>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1F3864"/>
    <pageSetUpPr fitToPage="1"/>
  </sheetPr>
  <dimension ref="A1:E27"/>
  <sheetViews>
    <sheetView showGridLines="0" zoomScaleNormal="100" workbookViewId="0">
      <pane ySplit="5" topLeftCell="A6" activePane="bottomLeft" state="frozen"/>
      <selection pane="bottomLeft" sqref="A1:E1"/>
    </sheetView>
  </sheetViews>
  <sheetFormatPr defaultColWidth="8.7109375" defaultRowHeight="15" x14ac:dyDescent="0.25"/>
  <cols>
    <col min="1" max="1" width="48" customWidth="1"/>
    <col min="2" max="2" width="61.7109375" bestFit="1" customWidth="1"/>
    <col min="3" max="3" width="18" customWidth="1"/>
    <col min="4" max="4" width="14" customWidth="1"/>
    <col min="5" max="5" width="12" customWidth="1"/>
  </cols>
  <sheetData>
    <row r="1" spans="1:5" ht="27.75" customHeight="1" x14ac:dyDescent="0.25">
      <c r="A1" s="45" t="s">
        <v>401</v>
      </c>
      <c r="B1" s="45"/>
      <c r="C1" s="45"/>
      <c r="D1" s="45"/>
      <c r="E1" s="45"/>
    </row>
    <row r="3" spans="1:5" ht="17.25" x14ac:dyDescent="0.3">
      <c r="A3" s="37" t="s">
        <v>402</v>
      </c>
      <c r="B3" s="57" t="str">
        <f>IF(SUM(C6:C18)=0,"✓ READY FOR PAYROLL","⚠ REVIEW REQUIRED")</f>
        <v>⚠ REVIEW REQUIRED</v>
      </c>
      <c r="C3" s="57"/>
      <c r="D3" s="57"/>
      <c r="E3" s="57"/>
    </row>
    <row r="5" spans="1:5" x14ac:dyDescent="0.25">
      <c r="A5" s="6" t="s">
        <v>403</v>
      </c>
      <c r="B5" s="6" t="s">
        <v>404</v>
      </c>
      <c r="C5" s="6" t="s">
        <v>405</v>
      </c>
      <c r="D5" s="6" t="s">
        <v>406</v>
      </c>
      <c r="E5" s="6" t="s">
        <v>156</v>
      </c>
    </row>
    <row r="6" spans="1:5" ht="25.5" customHeight="1" x14ac:dyDescent="0.25">
      <c r="A6" s="1">
        <v>1</v>
      </c>
      <c r="B6" s="1" t="s">
        <v>407</v>
      </c>
      <c r="C6" s="25">
        <f>SUMPRODUCT(--(COUNTIF(tblEmployees[Employee ID],tblEmployees[Employee ID])&gt;1))</f>
        <v>0</v>
      </c>
      <c r="D6" s="3" t="str">
        <f t="shared" ref="D6:D18" si="0">IF(C6=0,"OK","REVIEW")</f>
        <v>OK</v>
      </c>
      <c r="E6" s="38" t="s">
        <v>408</v>
      </c>
    </row>
    <row r="7" spans="1:5" ht="25.5" customHeight="1" x14ac:dyDescent="0.25">
      <c r="A7" s="1">
        <v>2</v>
      </c>
      <c r="B7" s="1" t="s">
        <v>409</v>
      </c>
      <c r="C7" s="25">
        <f>SUMPRODUCT((COUNTIFS(tblAttendance[Employee ID],tblAttendance[Employee ID],tblAttendance[Date],tblAttendance[Date])&gt;1)*1)</f>
        <v>2</v>
      </c>
      <c r="D7" s="3" t="str">
        <f t="shared" si="0"/>
        <v>REVIEW</v>
      </c>
      <c r="E7" s="38" t="s">
        <v>410</v>
      </c>
    </row>
    <row r="8" spans="1:5" ht="25.5" customHeight="1" x14ac:dyDescent="0.25">
      <c r="A8" s="1">
        <v>3</v>
      </c>
      <c r="B8" s="1" t="s">
        <v>411</v>
      </c>
      <c r="C8" s="25">
        <f>COUNTIFS(tblEmployees[Employee Name],"")+COUNTIFS(tblEmployees[Department],"")</f>
        <v>0</v>
      </c>
      <c r="D8" s="3" t="str">
        <f t="shared" si="0"/>
        <v>OK</v>
      </c>
      <c r="E8" s="38" t="s">
        <v>412</v>
      </c>
    </row>
    <row r="9" spans="1:5" ht="25.5" customHeight="1" x14ac:dyDescent="0.25">
      <c r="A9" s="1">
        <v>4</v>
      </c>
      <c r="B9" s="1" t="s">
        <v>413</v>
      </c>
      <c r="C9" s="25">
        <f>COUNTIF(tblAttendance[Attendance Status],"Missing Clock In")</f>
        <v>0</v>
      </c>
      <c r="D9" s="3" t="str">
        <f t="shared" si="0"/>
        <v>OK</v>
      </c>
      <c r="E9" s="38" t="s">
        <v>414</v>
      </c>
    </row>
    <row r="10" spans="1:5" ht="25.5" customHeight="1" x14ac:dyDescent="0.25">
      <c r="A10" s="1">
        <v>5</v>
      </c>
      <c r="B10" s="1" t="s">
        <v>415</v>
      </c>
      <c r="C10" s="25">
        <f>COUNTIF(tblAttendance[Attendance Status],"Missing Clock Out")</f>
        <v>1</v>
      </c>
      <c r="D10" s="3" t="str">
        <f t="shared" si="0"/>
        <v>REVIEW</v>
      </c>
      <c r="E10" s="38" t="s">
        <v>416</v>
      </c>
    </row>
    <row r="11" spans="1:5" ht="25.5" customHeight="1" x14ac:dyDescent="0.25">
      <c r="A11" s="1">
        <v>6</v>
      </c>
      <c r="B11" s="1" t="s">
        <v>417</v>
      </c>
      <c r="C11" s="25">
        <f>SUMPRODUCT((tblAttendance[Total Hours]&lt;&gt;"")*(tblAttendance[Total Hours]&gt;16)*1)</f>
        <v>0</v>
      </c>
      <c r="D11" s="3" t="str">
        <f t="shared" si="0"/>
        <v>OK</v>
      </c>
      <c r="E11" s="38" t="s">
        <v>418</v>
      </c>
    </row>
    <row r="12" spans="1:5" ht="25.5" customHeight="1" x14ac:dyDescent="0.25">
      <c r="A12" s="1">
        <v>7</v>
      </c>
      <c r="B12" s="1" t="s">
        <v>419</v>
      </c>
      <c r="C12" s="25">
        <f>COUNTIFS(tblAttendance[Approval Status],"&lt;&gt;Approved")</f>
        <v>2</v>
      </c>
      <c r="D12" s="3" t="str">
        <f t="shared" si="0"/>
        <v>REVIEW</v>
      </c>
      <c r="E12" s="38" t="s">
        <v>420</v>
      </c>
    </row>
    <row r="13" spans="1:5" ht="25.5" customHeight="1" x14ac:dyDescent="0.25">
      <c r="A13" s="1">
        <v>8</v>
      </c>
      <c r="B13" s="1" t="s">
        <v>421</v>
      </c>
      <c r="C13" s="25">
        <f>SUMPRODUCT((COUNTIFS(tblLeave[Employee ID],tblAttendance[Employee ID],tblLeave[Approval Status],"Approved",tblLeave[Start Date],"&lt;="&amp;tblAttendance[Date],tblLeave[End Date],"&gt;="&amp;tblAttendance[Date])&gt;0)*1)</f>
        <v>1</v>
      </c>
      <c r="D13" s="3" t="str">
        <f t="shared" si="0"/>
        <v>REVIEW</v>
      </c>
      <c r="E13" s="38" t="s">
        <v>422</v>
      </c>
    </row>
    <row r="14" spans="1:5" ht="25.5" customHeight="1" x14ac:dyDescent="0.25">
      <c r="A14" s="1">
        <v>9</v>
      </c>
      <c r="B14" s="1" t="s">
        <v>423</v>
      </c>
      <c r="C14" s="25">
        <f>COUNTIFS(tblDeductions[Deduction Type],"&lt;&gt;Percentage",tblDeductions[Deduction Type],"&lt;&gt;Fixed Amount")</f>
        <v>0</v>
      </c>
      <c r="D14" s="3" t="str">
        <f t="shared" si="0"/>
        <v>OK</v>
      </c>
      <c r="E14" s="38" t="s">
        <v>424</v>
      </c>
    </row>
    <row r="15" spans="1:5" ht="25.5" customHeight="1" x14ac:dyDescent="0.25">
      <c r="A15" s="1">
        <v>10</v>
      </c>
      <c r="B15" s="1" t="s">
        <v>425</v>
      </c>
      <c r="C15" s="25">
        <f>SUMPRODUCT((tblDeductions[Percentage]&lt;&gt;"")*((tblDeductions[Percentage]&lt;0)+(tblDeductions[Percentage]&gt;1))*1)</f>
        <v>0</v>
      </c>
      <c r="D15" s="3" t="str">
        <f t="shared" si="0"/>
        <v>OK</v>
      </c>
      <c r="E15" s="38" t="s">
        <v>426</v>
      </c>
    </row>
    <row r="16" spans="1:5" ht="25.5" customHeight="1" x14ac:dyDescent="0.25">
      <c r="A16" s="1">
        <v>11</v>
      </c>
      <c r="B16" s="1" t="s">
        <v>427</v>
      </c>
      <c r="C16" s="25">
        <f>SUMPRODUCT((COUNTIFS(tblDedAssign[Employee ID],tblDedAssign[Employee ID],tblDedAssign[Deduction ID],tblDedAssign[Deduction ID],tblDedAssign[Active?],"Yes")&gt;1)*(tblDedAssign[Active?]="Yes")*1)</f>
        <v>0</v>
      </c>
      <c r="D16" s="3" t="str">
        <f t="shared" si="0"/>
        <v>OK</v>
      </c>
      <c r="E16" s="38" t="s">
        <v>428</v>
      </c>
    </row>
    <row r="17" spans="1:5" ht="25.5" customHeight="1" x14ac:dyDescent="0.25">
      <c r="A17" s="1">
        <v>12</v>
      </c>
      <c r="B17" s="1" t="s">
        <v>429</v>
      </c>
      <c r="C17" s="25">
        <f>SUMPRODUCT((COUNTIF(tblPayroll[Employee ID],tblEmployees[Employee ID])=0)*1)</f>
        <v>0</v>
      </c>
      <c r="D17" s="3" t="str">
        <f t="shared" si="0"/>
        <v>OK</v>
      </c>
      <c r="E17" s="38" t="s">
        <v>430</v>
      </c>
    </row>
    <row r="18" spans="1:5" ht="25.5" customHeight="1" x14ac:dyDescent="0.25">
      <c r="A18" s="1">
        <v>13</v>
      </c>
      <c r="B18" s="1" t="s">
        <v>431</v>
      </c>
      <c r="C18" s="25">
        <f>COUNTIF(tblPayroll[Net Pay],"&lt;0")</f>
        <v>0</v>
      </c>
      <c r="D18" s="3" t="str">
        <f t="shared" si="0"/>
        <v>OK</v>
      </c>
      <c r="E18" s="38" t="s">
        <v>432</v>
      </c>
    </row>
    <row r="21" spans="1:5" x14ac:dyDescent="0.25">
      <c r="A21" s="39" t="s">
        <v>433</v>
      </c>
      <c r="B21" s="39"/>
      <c r="C21" s="39"/>
      <c r="D21" s="39"/>
      <c r="E21" s="39"/>
    </row>
    <row r="22" spans="1:5" x14ac:dyDescent="0.25">
      <c r="A22" s="6" t="s">
        <v>404</v>
      </c>
      <c r="B22" s="6" t="s">
        <v>434</v>
      </c>
      <c r="C22" s="6" t="s">
        <v>435</v>
      </c>
      <c r="D22" s="6" t="s">
        <v>436</v>
      </c>
      <c r="E22" s="6" t="s">
        <v>406</v>
      </c>
    </row>
    <row r="23" spans="1:5" ht="25.5" customHeight="1" x14ac:dyDescent="0.25">
      <c r="A23" s="1" t="s">
        <v>437</v>
      </c>
      <c r="B23" s="7">
        <f>SUM(tblPayrollRegister[Gross Earnings])</f>
        <v>55363.822115384617</v>
      </c>
      <c r="C23" s="7">
        <f>SUM(tblPayroll[Gross Earnings])</f>
        <v>55363.822115384617</v>
      </c>
      <c r="D23" s="7">
        <f>ROUND(B23-C23,2)</f>
        <v>0</v>
      </c>
      <c r="E23" s="3" t="str">
        <f>IF(D23=0,"MATCH","MISMATCH")</f>
        <v>MATCH</v>
      </c>
    </row>
    <row r="24" spans="1:5" ht="25.5" customHeight="1" x14ac:dyDescent="0.25">
      <c r="A24" s="1" t="s">
        <v>438</v>
      </c>
      <c r="B24" s="7">
        <f>SUM(tblPayrollRegister[Net Pay])</f>
        <v>52741.645432692312</v>
      </c>
      <c r="C24" s="7">
        <f>SUM(tblPayroll[Net Pay])</f>
        <v>52741.645432692312</v>
      </c>
      <c r="D24" s="7">
        <f>ROUND(B24-C24,2)</f>
        <v>0</v>
      </c>
      <c r="E24" s="3" t="str">
        <f>IF(D24=0,"MATCH","MISMATCH")</f>
        <v>MATCH</v>
      </c>
    </row>
    <row r="25" spans="1:5" ht="25.5" customHeight="1" x14ac:dyDescent="0.25">
      <c r="A25" s="1" t="s">
        <v>439</v>
      </c>
      <c r="B25" s="7">
        <f>SUM(tblPayroll[Total Deductions])</f>
        <v>2149.0997596153848</v>
      </c>
      <c r="C25" s="7">
        <f>SUM(tblPayroll[Gross Earnings])-SUM(tblPayroll[Net Pay])-SUM(tblPayroll[Unpaid Leave Deduction])</f>
        <v>2149.099759615382</v>
      </c>
      <c r="D25" s="7">
        <f>ROUND(B25-C25,2)</f>
        <v>0</v>
      </c>
      <c r="E25" s="3" t="str">
        <f>IF(D25=0,"MATCH","MISMATCH")</f>
        <v>MATCH</v>
      </c>
    </row>
    <row r="26" spans="1:5" ht="25.5" customHeight="1" x14ac:dyDescent="0.25">
      <c r="A26" s="1" t="s">
        <v>440</v>
      </c>
      <c r="B26" s="7">
        <f>SUM(tblTimesheetSummary[Overtime Hours])</f>
        <v>5.1333333333333346</v>
      </c>
      <c r="C26" s="7">
        <f>SUM(tblPayroll[Overtime Hours])</f>
        <v>5.1333333333333346</v>
      </c>
      <c r="D26" s="7">
        <f>ROUND(B26-C26,2)</f>
        <v>0</v>
      </c>
      <c r="E26" s="3" t="str">
        <f>IF(D26=0,"MATCH","MISMATCH")</f>
        <v>MATCH</v>
      </c>
    </row>
    <row r="27" spans="1:5" x14ac:dyDescent="0.25">
      <c r="A27" s="58"/>
      <c r="B27" s="58"/>
      <c r="C27" s="58"/>
      <c r="D27" s="58"/>
      <c r="E27" s="58"/>
    </row>
  </sheetData>
  <mergeCells count="4">
    <mergeCell ref="A1:E1"/>
    <mergeCell ref="B3:E3"/>
    <mergeCell ref="A21:E21"/>
    <mergeCell ref="A27:E27"/>
  </mergeCells>
  <conditionalFormatting sqref="B3">
    <cfRule type="cellIs" dxfId="5" priority="4" operator="equal">
      <formula>"✓ READY FOR PAYROLL"</formula>
    </cfRule>
    <cfRule type="cellIs" dxfId="4" priority="5" operator="equal">
      <formula>"⚠ REVIEW REQUIRED"</formula>
    </cfRule>
  </conditionalFormatting>
  <conditionalFormatting sqref="D6:D18">
    <cfRule type="cellIs" dxfId="3" priority="2" operator="equal">
      <formula>"OK"</formula>
    </cfRule>
    <cfRule type="cellIs" dxfId="2" priority="3" operator="equal">
      <formula>"REVIEW"</formula>
    </cfRule>
  </conditionalFormatting>
  <conditionalFormatting sqref="E23:E26">
    <cfRule type="cellIs" dxfId="1" priority="6" operator="equal">
      <formula>"MATCH"</formula>
    </cfRule>
    <cfRule type="cellIs" dxfId="0" priority="7" operator="equal">
      <formula>"MISMATCH"</formula>
    </cfRule>
  </conditionalFormatting>
  <pageMargins left="0.4" right="0.4" top="0.5" bottom="0.5"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17</vt:i4>
      </vt:variant>
    </vt:vector>
  </HeadingPairs>
  <TitlesOfParts>
    <vt:vector size="33" baseType="lpstr">
      <vt:lpstr>Dashboard</vt:lpstr>
      <vt:lpstr>Instructions</vt:lpstr>
      <vt:lpstr>Settings</vt:lpstr>
      <vt:lpstr>Employees</vt:lpstr>
      <vt:lpstr>Attendance</vt:lpstr>
      <vt:lpstr>Leave</vt:lpstr>
      <vt:lpstr>Payroll</vt:lpstr>
      <vt:lpstr>Payroll Register</vt:lpstr>
      <vt:lpstr>Employee Payslip</vt:lpstr>
      <vt:lpstr>Timesheet Summary</vt:lpstr>
      <vt:lpstr>Payroll Summary</vt:lpstr>
      <vt:lpstr>Deductions</vt:lpstr>
      <vt:lpstr>Allowances &amp; Bonuses</vt:lpstr>
      <vt:lpstr>Holidays</vt:lpstr>
      <vt:lpstr>Lists</vt:lpstr>
      <vt:lpstr>Checks &amp; Audit</vt:lpstr>
      <vt:lpstr>CompanyNameCell</vt:lpstr>
      <vt:lpstr>CurrencyCode</vt:lpstr>
      <vt:lpstr>GraceMinutes</vt:lpstr>
      <vt:lpstr>HolidayOTMult</vt:lpstr>
      <vt:lpstr>MaxNormalHours</vt:lpstr>
      <vt:lpstr>MonthlyHoursDivisor</vt:lpstr>
      <vt:lpstr>NormalOTMult</vt:lpstr>
      <vt:lpstr>PayrollMonth</vt:lpstr>
      <vt:lpstr>PayrollYear</vt:lpstr>
      <vt:lpstr>PeriodEnd</vt:lpstr>
      <vt:lpstr>PeriodStart</vt:lpstr>
      <vt:lpstr>'Employee Payslip'!Print_Area</vt:lpstr>
      <vt:lpstr>StdDaysWeek</vt:lpstr>
      <vt:lpstr>StdHoursDay</vt:lpstr>
      <vt:lpstr>UnpaidLeaveMethod</vt:lpstr>
      <vt:lpstr>WeekendOTMult</vt:lpstr>
      <vt:lpstr>WorkingDaysDivisor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Mohammed Al Sabbagh</cp:lastModifiedBy>
  <cp:revision>1</cp:revision>
  <dcterms:created xsi:type="dcterms:W3CDTF">2026-09-09T04:18:26Z</dcterms:created>
  <dcterms:modified xsi:type="dcterms:W3CDTF">2026-09-09T10:37:04Z</dcterms:modified>
  <dc:language>en-US</dc:language>
</cp:coreProperties>
</file>